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Inputs - Common" sheetId="2" state="visible" r:id="rId4"/>
    <sheet name="Inputs - On-Demand" sheetId="3" state="visible" r:id="rId5"/>
    <sheet name="Inputs - Reservations" sheetId="4" state="visible" r:id="rId6"/>
    <sheet name="Calc - On-Demand" sheetId="5" state="visible" r:id="rId7"/>
    <sheet name="Calc - Reservations" sheetId="6" state="visible" r:id="rId8"/>
    <sheet name="Outcomes - On-Demand" sheetId="7" state="visible" r:id="rId9"/>
    <sheet name="Outcomes - Reservations" sheetId="8" state="visible" r:id="rId10"/>
  </sheets>
  <definedNames>
    <definedName function="false" hidden="false" name="Athena_DPU_Price" vbProcedure="false">'Inputs - Reservations'!$B$6</definedName>
    <definedName function="false" hidden="false" name="Athena_Min_MB" vbProcedure="false">'Inputs - On-Demand'!$B$7</definedName>
    <definedName function="false" hidden="false" name="Athena_OD_Price" vbProcedure="false">'Inputs - On-Demand'!$B$6</definedName>
    <definedName function="false" hidden="false" name="FTE_Cost" vbProcedure="false">'Inputs - Common'!$B$13</definedName>
    <definedName function="false" hidden="false" name="Hours_Per_Year" vbProcedure="false">'Inputs - Common'!$B$8</definedName>
    <definedName function="false" hidden="false" name="Illus_Queries_Day" vbProcedure="false">'Inputs - On-Demand'!$B$9</definedName>
    <definedName function="false" hidden="false" name="K_Ratio" vbProcedure="false">'Inputs - Common'!$B$9</definedName>
    <definedName function="false" hidden="false" name="Maint_Pct" vbProcedure="false">'Inputs - Common'!$B$11</definedName>
    <definedName function="false" hidden="false" name="Refresh_Offset" vbProcedure="false">'Inputs - Common'!$B$12</definedName>
    <definedName function="false" hidden="false" name="Res_Max_DPU" vbProcedure="false">'Inputs - Reservations'!$B$8</definedName>
    <definedName function="false" hidden="false" name="Res_Min_DPU" vbProcedure="false">'Inputs - Reservations'!$B$7</definedName>
    <definedName function="false" hidden="false" name="Res_Ref_S" vbProcedure="false">'Inputs - Reservations'!$B$9</definedName>
    <definedName function="false" hidden="false" name="S3_Overhead_per_TB" vbProcedure="false">'Inputs - Common'!$B$10</definedName>
    <definedName function="false" hidden="false" name="SF_Gen2_Mult" vbProcedure="false">'Inputs - Common'!$B$7</definedName>
    <definedName function="false" hidden="false" name="SF_Price" vbProcedure="false">'Inputs - Common'!$B$6</definedName>
    <definedName function="false" hidden="false" name="Small_Query_Allowance" vbProcedure="false">'Inputs - On-Demand'!$B$8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<sst xmlns="http://schemas.openxmlformats.org/spreadsheetml/2006/main" count="709" uniqueCount="359">
  <si>
    <t xml:space="preserve">Bronze and Silver Compute: Athena vs. Snowflake — Cost Calculator</t>
  </si>
  <si>
    <t xml:space="preserve">Prepared for</t>
  </si>
  <si>
    <t xml:space="preserve">Data platform teams evaluating Athena for Bronze and Silver processing on Iceberg</t>
  </si>
  <si>
    <t xml:space="preserve">Prepared by</t>
  </si>
  <si>
    <t xml:space="preserve">Ed Ost</t>
  </si>
  <si>
    <t xml:space="preserve">Status</t>
  </si>
  <si>
    <t xml:space="preserve">Vendor-neutral calculator; illustrative inputs</t>
  </si>
  <si>
    <t xml:space="preserve">Version / date</t>
  </si>
  <si>
    <t xml:space="preserve">1.0 — 2026-10-30</t>
  </si>
  <si>
    <t xml:space="preserve">Pricing current as of</t>
  </si>
  <si>
    <t xml:space="preserve">2026-09-30 (published list prices)</t>
  </si>
  <si>
    <t xml:space="preserve">Companion document</t>
  </si>
  <si>
    <t xml:space="preserve">Method note at eost.dev/posts/iceberg-interoperability-has-a-bill/</t>
  </si>
  <si>
    <t xml:space="preserve">Open document summary</t>
  </si>
  <si>
    <t xml:space="preserve">Read this first</t>
  </si>
  <si>
    <t xml:space="preserve">1.</t>
  </si>
  <si>
    <t xml:space="preserve">Rough order of magnitude only. Treat every result as accurate to roughly ±50% at best.</t>
  </si>
  <si>
    <t xml:space="preserve">Doc §0 Read this first</t>
  </si>
  <si>
    <t xml:space="preserve">2.</t>
  </si>
  <si>
    <t xml:space="preserve">Not based on any organization's data. Every workload figure is an illustrative assumption for a large enterprise, such as a large bank or a multi-hospital health system.</t>
  </si>
  <si>
    <t xml:space="preserve">3.</t>
  </si>
  <si>
    <t xml:space="preserve">List prices, not contract prices. One Snowflake discount assumption is applied (Inputs - Common).</t>
  </si>
  <si>
    <t xml:space="preserve">4.</t>
  </si>
  <si>
    <t xml:space="preserve">Not a pricing commitment from AWS, Snowflake, or any other party.</t>
  </si>
  <si>
    <t xml:space="preserve">5.</t>
  </si>
  <si>
    <t xml:space="preserve">Designed to be recalculated with measured values; see the calibration plan in the document.</t>
  </si>
  <si>
    <t xml:space="preserve">Doc §9 Calibration plan</t>
  </si>
  <si>
    <t xml:space="preserve">How to use this workbook</t>
  </si>
  <si>
    <t xml:space="preserve">Step 1</t>
  </si>
  <si>
    <t xml:space="preserve">Change values only in blue cells on the three Inputs tabs. Every other cell is a formula.</t>
  </si>
  <si>
    <t xml:space="preserve">Step 2</t>
  </si>
  <si>
    <t xml:space="preserve">Start with the yellow key assumptions: Snowflake $/credit, baselines, k, S (on-demand), and Usf, E, Uath (reservations).</t>
  </si>
  <si>
    <t xml:space="preserve">Step 3</t>
  </si>
  <si>
    <t xml:space="preserve">Review results on the two Outcomes tabs. The Calc tabs show every intermediate step.</t>
  </si>
  <si>
    <t xml:space="preserve">Step 4</t>
  </si>
  <si>
    <t xml:space="preserve">Replace assumptions with measured values from the Snowflake queries and benchmark in document §9, then re-read the Outcomes tabs.</t>
  </si>
  <si>
    <t xml:space="preserve">Step 5</t>
  </si>
  <si>
    <t xml:space="preserve">Document links open the method note on eost.dev at the relevant section, in your web browser.</t>
  </si>
  <si>
    <t xml:space="preserve">Legend</t>
  </si>
  <si>
    <t xml:space="preserve">1,000</t>
  </si>
  <si>
    <t xml:space="preserve">Input — hardcoded value you may edit (blue text).</t>
  </si>
  <si>
    <t xml:space="preserve">3.50</t>
  </si>
  <si>
    <t xml:space="preserve">Key assumption — input with the most influence on results (blue text, yellow fill).</t>
  </si>
  <si>
    <t xml:space="preserve">=B5*2</t>
  </si>
  <si>
    <t xml:space="preserve">Formula — calculated on this sheet (black text). Do not edit.</t>
  </si>
  <si>
    <t xml:space="preserve">='Inputs'!B5</t>
  </si>
  <si>
    <t xml:space="preserve">Link — value pulled from another tab (green text). Do not edit.</t>
  </si>
  <si>
    <t xml:space="preserve">Net saving</t>
  </si>
  <si>
    <t xml:space="preserve">Headline output (green fill).</t>
  </si>
  <si>
    <t xml:space="preserve">Doc §6.4 Results</t>
  </si>
  <si>
    <t xml:space="preserve">Hyperlink to a document section or another tab (underlined).</t>
  </si>
  <si>
    <t xml:space="preserve">Number formats: $M values display millions (e.g. $1.34M); negatives appear in red parentheses and mean a net cost.</t>
  </si>
  <si>
    <t xml:space="preserve">Tab map</t>
  </si>
  <si>
    <t xml:space="preserve">Tab</t>
  </si>
  <si>
    <t xml:space="preserve">Purpose</t>
  </si>
  <si>
    <t xml:space="preserve">Go to tab</t>
  </si>
  <si>
    <t xml:space="preserve">Document section</t>
  </si>
  <si>
    <t xml:space="preserve">Inputs - Common</t>
  </si>
  <si>
    <t xml:space="preserve">Inputs shared by both models: Snowflake price, k, overheads, offsets, baselines, warehouse sizes.</t>
  </si>
  <si>
    <t xml:space="preserve">Go to Inputs - Common</t>
  </si>
  <si>
    <t xml:space="preserve">Doc §4–5 Inputs &amp; assumptions</t>
  </si>
  <si>
    <t xml:space="preserve">Inputs - On-Demand</t>
  </si>
  <si>
    <t xml:space="preserve">Inputs for Analysis A: Athena on-demand price, per-query minimum, Snowflake cost per TB (S).</t>
  </si>
  <si>
    <t xml:space="preserve">Go to Inputs - On-Demand</t>
  </si>
  <si>
    <t xml:space="preserve">Doc §6.3 Parameters</t>
  </si>
  <si>
    <t xml:space="preserve">Inputs - Reservations</t>
  </si>
  <si>
    <t xml:space="preserve">Inputs for Analysis B: Athena DPU price, DPU limits, Usf, E, Uath.</t>
  </si>
  <si>
    <t xml:space="preserve">Go to Inputs - Reservations</t>
  </si>
  <si>
    <t xml:space="preserve">Doc §7.3 Parameters</t>
  </si>
  <si>
    <t xml:space="preserve">Calc - On-Demand</t>
  </si>
  <si>
    <t xml:space="preserve">Working for Analysis A: derived constants, break-even throughput, scenario matrices.</t>
  </si>
  <si>
    <t xml:space="preserve">Go to Calc - On-Demand</t>
  </si>
  <si>
    <t xml:space="preserve">Doc §6.2 Model</t>
  </si>
  <si>
    <t xml:space="preserve">Calc - Reservations</t>
  </si>
  <si>
    <t xml:space="preserve">Working for Analysis B: efficiency ratios, break-even E*, scenario matrices, DPU limit check.</t>
  </si>
  <si>
    <t xml:space="preserve">Go to Calc - Reservations</t>
  </si>
  <si>
    <t xml:space="preserve">Doc §7.2 Model</t>
  </si>
  <si>
    <t xml:space="preserve">Outcomes - On-Demand</t>
  </si>
  <si>
    <t xml:space="preserve">Results for Analysis A: net saving, Athena cost, gross saving %, break-even throughput.</t>
  </si>
  <si>
    <t xml:space="preserve">Go to Outcomes - On-Demand</t>
  </si>
  <si>
    <t xml:space="preserve">Outcomes - Reservations</t>
  </si>
  <si>
    <t xml:space="preserve">Results for Analysis B: net saving, reserved DPUs, limit flags, Athena cost, efficiency ratios.</t>
  </si>
  <si>
    <t xml:space="preserve">Go to Outcomes - Reservations</t>
  </si>
  <si>
    <t xml:space="preserve">Doc §7.4 Results</t>
  </si>
  <si>
    <t xml:space="preserve">If a document link opens the page without jumping to the section, use the document's headings; section numbers match the link text.</t>
  </si>
  <si>
    <t xml:space="preserve">Inputs — Common to both pricing models</t>
  </si>
  <si>
    <t xml:space="preserve">Edit blue cells only. Yellow fill marks the key assumptions. Every value here is an assumption or a published list price, not measured data.</t>
  </si>
  <si>
    <t xml:space="preserve">Pricing and offset parameters</t>
  </si>
  <si>
    <t xml:space="preserve">Parameter</t>
  </si>
  <si>
    <t xml:space="preserve">Value</t>
  </si>
  <si>
    <t xml:space="preserve">Unit</t>
  </si>
  <si>
    <t xml:space="preserve">Description</t>
  </si>
  <si>
    <t xml:space="preserve">Basis / source</t>
  </si>
  <si>
    <t xml:space="preserve">Details</t>
  </si>
  <si>
    <t xml:space="preserve">Snowflake price per credit (p)</t>
  </si>
  <si>
    <t xml:space="preserve">$/credit</t>
  </si>
  <si>
    <t xml:space="preserve">Effective price paid per Snowflake credit. Drives the baseline-to-credits conversion and the reservation comparison.</t>
  </si>
  <si>
    <t xml:space="preserve">Assumption: Business Critical list ≈ $4.00/credit (AWS US East); ~12.5% contract discount assumed. Replace with the contracted rate.</t>
  </si>
  <si>
    <t xml:space="preserve">Doc §4 Pricing inputs</t>
  </si>
  <si>
    <t xml:space="preserve">Snowflake Gen2 credit multiplier (AWS)</t>
  </si>
  <si>
    <t xml:space="preserve">× Gen1</t>
  </si>
  <si>
    <t xml:space="preserve">Gen2 standard warehouses consume credits at this multiple of Gen1. Used only in the break-even throughput table.</t>
  </si>
  <si>
    <t xml:space="preserve">Published Snowflake rate (AWS/GCP).</t>
  </si>
  <si>
    <t xml:space="preserve">Hours per year</t>
  </si>
  <si>
    <t xml:space="preserve">hours</t>
  </si>
  <si>
    <t xml:space="preserve">Used to convert annual DPU-hours into an average reserved DPU count.</t>
  </si>
  <si>
    <t xml:space="preserve">Calendar constant (365 × 24).</t>
  </si>
  <si>
    <t xml:space="preserve">Athena-to-Snowflake bytes-scanned ratio (k)</t>
  </si>
  <si>
    <t xml:space="preserve">ratio</t>
  </si>
  <si>
    <t xml:space="preserve">TB Athena scans ÷ TB Snowflake scans for the same work. Pruning and caching differ between engines.</t>
  </si>
  <si>
    <t xml:space="preserve">Assumption, ±30%. Measure with the side-by-side benchmark.</t>
  </si>
  <si>
    <t xml:space="preserve">S3 request + Glue catalog overhead</t>
  </si>
  <si>
    <t xml:space="preserve">$/TB scanned</t>
  </si>
  <si>
    <t xml:space="preserve">S3 GET/LIST and Glue API charges incurred by Athena reads, expressed per TB scanned (≈10% of the on-demand rate).</t>
  </si>
  <si>
    <t xml:space="preserve">Assumption. S3 GET $0.40/M, LIST $5.00/M; varies with file layout.</t>
  </si>
  <si>
    <t xml:space="preserve">Table maintenance offset</t>
  </si>
  <si>
    <t xml:space="preserve">% of Athena compute</t>
  </si>
  <si>
    <t xml:space="preserve">Compaction, snapshot expiry and orphan-file cleanup that Snowflake handles for Snowflake-managed tables.</t>
  </si>
  <si>
    <t xml:space="preserve">Assumption.</t>
  </si>
  <si>
    <t xml:space="preserve">Doc §5.2 Offsets</t>
  </si>
  <si>
    <t xml:space="preserve">Snowflake-side refresh offset</t>
  </si>
  <si>
    <t xml:space="preserve">$/yr</t>
  </si>
  <si>
    <t xml:space="preserve">Metadata refresh of mirrored or catalog-linked Silver tables so Snowflake Gold can read them.</t>
  </si>
  <si>
    <t xml:space="preserve">Fully loaded engineer cost</t>
  </si>
  <si>
    <t xml:space="preserve">$/FTE-yr</t>
  </si>
  <si>
    <t xml:space="preserve">Cost per FTE for operating the second governance estate (Lake Formation alongside Snowflake).</t>
  </si>
  <si>
    <t xml:space="preserve">Baseline scenarios — current annual Snowflake compute for Bronze and Silver (prod + non-prod)</t>
  </si>
  <si>
    <t xml:space="preserve">Illustrative. Replace with your measured or projected spend. 'Plausible band' marks the baselines included in the summary ranges on the Outcomes tabs.</t>
  </si>
  <si>
    <t xml:space="preserve">Baseline</t>
  </si>
  <si>
    <t xml:space="preserve">Annual spend ($/yr)</t>
  </si>
  <si>
    <t xml:space="preserve">Governance FTE</t>
  </si>
  <si>
    <t xml:space="preserve">In plausible band (Y/N)</t>
  </si>
  <si>
    <t xml:space="preserve">B1</t>
  </si>
  <si>
    <t xml:space="preserve">N</t>
  </si>
  <si>
    <t xml:space="preserve">Lower bound. ≈1.6 Large warehouses running 24×7 at $3.50/credit.</t>
  </si>
  <si>
    <t xml:space="preserve">Assumption. Included to show where savings disappear.</t>
  </si>
  <si>
    <t xml:space="preserve">Doc §5.1 Baseline</t>
  </si>
  <si>
    <t xml:space="preserve">B2</t>
  </si>
  <si>
    <t xml:space="preserve">Y</t>
  </si>
  <si>
    <t xml:space="preserve">≈4 Large warehouses running 24×7.</t>
  </si>
  <si>
    <t xml:space="preserve">Assumption: low end of plausible large-enterprise band.</t>
  </si>
  <si>
    <t xml:space="preserve">B3</t>
  </si>
  <si>
    <t xml:space="preserve">≈6 Large warehouses running 24×7.</t>
  </si>
  <si>
    <t xml:space="preserve">Assumption: mid-point.</t>
  </si>
  <si>
    <t xml:space="preserve">B4</t>
  </si>
  <si>
    <t xml:space="preserve">≈16 Large warehouses running 24×7.</t>
  </si>
  <si>
    <t xml:space="preserve">Assumption: high end of plausible large-enterprise band.</t>
  </si>
  <si>
    <t xml:space="preserve">Snowflake warehouse sizes — used for the on-demand break-even throughput table</t>
  </si>
  <si>
    <t xml:space="preserve">Warehouse size</t>
  </si>
  <si>
    <t xml:space="preserve">Credits per hour (Gen1)</t>
  </si>
  <si>
    <t xml:space="preserve">XS</t>
  </si>
  <si>
    <t xml:space="preserve">Credits billed per running hour for a standard warehouse of this size.</t>
  </si>
  <si>
    <t xml:space="preserve">Published Snowflake rate.</t>
  </si>
  <si>
    <t xml:space="preserve">Doc §6.1 Break-even</t>
  </si>
  <si>
    <t xml:space="preserve">S</t>
  </si>
  <si>
    <t xml:space="preserve">M</t>
  </si>
  <si>
    <t xml:space="preserve">L</t>
  </si>
  <si>
    <t xml:space="preserve">XL</t>
  </si>
  <si>
    <t xml:space="preserve">Inputs — Analysis A: Athena on-demand (billed per TB scanned)</t>
  </si>
  <si>
    <t xml:space="preserve">Edit blue cells only. Yellow fill marks the key assumptions.</t>
  </si>
  <si>
    <t xml:space="preserve">Pricing parameters</t>
  </si>
  <si>
    <t xml:space="preserve">Athena SQL on-demand price</t>
  </si>
  <si>
    <t xml:space="preserve">List price per TB of data scanned by Athena SQL queries.</t>
  </si>
  <si>
    <t xml:space="preserve">AWS Athena pricing page.</t>
  </si>
  <si>
    <t xml:space="preserve">Per-query minimum billed</t>
  </si>
  <si>
    <t xml:space="preserve">MB</t>
  </si>
  <si>
    <t xml:space="preserve">Each query is billed for at least this much data, however little it scans.</t>
  </si>
  <si>
    <t xml:space="preserve">Small-query minimum allowance</t>
  </si>
  <si>
    <t xml:space="preserve">Annual allowance for the per-query minimum on many tiny CDC queries. Deducted in every on-demand case.</t>
  </si>
  <si>
    <t xml:space="preserve">Assumption: upper bound. See the illustrative check on the Calc tab.</t>
  </si>
  <si>
    <t xml:space="preserve">Illustrative small-query volume</t>
  </si>
  <si>
    <t xml:space="preserve">queries/day</t>
  </si>
  <si>
    <t xml:space="preserve">Used only to sanity-check the allowance above (queries/day × minimum MB × price × 365).</t>
  </si>
  <si>
    <t xml:space="preserve">Assumption: illustration, not a forecast.</t>
  </si>
  <si>
    <t xml:space="preserve">Assumption sets</t>
  </si>
  <si>
    <t xml:space="preserve">Conservative</t>
  </si>
  <si>
    <t xml:space="preserve">Mid</t>
  </si>
  <si>
    <t xml:space="preserve">Optimistic</t>
  </si>
  <si>
    <t xml:space="preserve">Snowflake effective cost per TB scanned (S)</t>
  </si>
  <si>
    <t xml:space="preserve">Snowflake credits billed × $/credit ÷ TB scanned by the Bronze/Silver warehouses. Higher S means Snowflake is paying more per TB, which favors Athena.</t>
  </si>
  <si>
    <t xml:space="preserve">Assumption. Measure directly with the Snowflake query in doc §9.1.</t>
  </si>
  <si>
    <t xml:space="preserve">Doc §9.1 Calibration</t>
  </si>
  <si>
    <t xml:space="preserve">Inputs — Analysis B: Athena capacity reservations (billed per DPU-hour)</t>
  </si>
  <si>
    <t xml:space="preserve">Edit blue cells only. Yellow fill marks the key assumptions. E is the least certain input and must be benchmarked.</t>
  </si>
  <si>
    <t xml:space="preserve">Pricing and limit parameters</t>
  </si>
  <si>
    <t xml:space="preserve">Athena reservation price</t>
  </si>
  <si>
    <t xml:space="preserve">$/DPU-hour</t>
  </si>
  <si>
    <t xml:space="preserve">Price per reserved DPU-hour. No per-TB scan charge applies to queries on reserved capacity.</t>
  </si>
  <si>
    <t xml:space="preserve">Minimum DPUs per reservation</t>
  </si>
  <si>
    <t xml:space="preserve">DPUs</t>
  </si>
  <si>
    <t xml:space="preserve">Smallest reservation AWS allows (1-minute reservations since Feb 2026). Informational.</t>
  </si>
  <si>
    <t xml:space="preserve">AWS announcement, 2026-02-10.</t>
  </si>
  <si>
    <t xml:space="preserve">Doc §7.5 Constraints</t>
  </si>
  <si>
    <t xml:space="preserve">Maximum DPUs per account per region</t>
  </si>
  <si>
    <t xml:space="preserve">Total reserved DPUs allowed across all reservations in one account and region. Used for the limit check.</t>
  </si>
  <si>
    <t xml:space="preserve">Athena User Guide, capacity management.</t>
  </si>
  <si>
    <t xml:space="preserve">Reference S for scan-volume estimate</t>
  </si>
  <si>
    <t xml:space="preserve">Used only to estimate TB scanned (for S3/Glue request overhead). Defaults to the on-demand Mid value of S.</t>
  </si>
  <si>
    <t xml:space="preserve">Snowflake productive fraction (Usf)</t>
  </si>
  <si>
    <t xml:space="preserve">fraction</t>
  </si>
  <si>
    <t xml:space="preserve">Share of billed Snowflake warehouse time spent running queries (the rest is idle time and resume minimums).</t>
  </si>
  <si>
    <t xml:space="preserve">Assumption. Proxy query in doc §9.1.</t>
  </si>
  <si>
    <t xml:space="preserve">DPU-hours per productive Snowflake credit-hour (E)</t>
  </si>
  <si>
    <t xml:space="preserve">DPU-h / credit-h</t>
  </si>
  <si>
    <t xml:space="preserve">Athena reserved capacity needed to do the work of one productive Snowflake credit-hour. Least certain input.</t>
  </si>
  <si>
    <t xml:space="preserve">Assumption. Must be benchmarked (doc §9.2).</t>
  </si>
  <si>
    <t xml:space="preserve">Reservation utilization (Uath)</t>
  </si>
  <si>
    <t xml:space="preserve">Share of reserved DPU time actually in use. Reflects peak-to-average sizing and scheduled resizing.</t>
  </si>
  <si>
    <t xml:space="preserve">Assumption. Depends on operational discipline.</t>
  </si>
  <si>
    <t xml:space="preserve">Calculations — Analysis A: Athena on-demand</t>
  </si>
  <si>
    <t xml:space="preserve">No inputs on this tab. Black = formula; green = value linked from an Inputs tab. Change values on the Inputs tabs.</t>
  </si>
  <si>
    <t xml:space="preserve">A. Derived constants</t>
  </si>
  <si>
    <t xml:space="preserve">Item</t>
  </si>
  <si>
    <t xml:space="preserve">Formula / description</t>
  </si>
  <si>
    <t xml:space="preserve">Athena effective cost per TB (A)</t>
  </si>
  <si>
    <t xml:space="preserve">$/TB</t>
  </si>
  <si>
    <t xml:space="preserve">On-demand price + S3/Glue request overhead.</t>
  </si>
  <si>
    <t xml:space="preserve">Break-even Snowflake cost per TB (k × A)</t>
  </si>
  <si>
    <t xml:space="preserve">If Snowflake's effective cost per TB scanned (S) is below this, Athena on-demand saves nothing.</t>
  </si>
  <si>
    <t xml:space="preserve">Illustrative small-query billed volume</t>
  </si>
  <si>
    <t xml:space="preserve">TB/day</t>
  </si>
  <si>
    <t xml:space="preserve">Queries per day × minimum MB per query ÷ 1,000,000 (decimal TB).</t>
  </si>
  <si>
    <t xml:space="preserve">Illustrative small-query cost</t>
  </si>
  <si>
    <t xml:space="preserve">Check against the Small-query minimum allowance input; the allowance should be at least this.</t>
  </si>
  <si>
    <t xml:space="preserve">Allowance covers illustration?</t>
  </si>
  <si>
    <t xml:space="preserve">Flag only; the model always uses the allowance input.</t>
  </si>
  <si>
    <t xml:space="preserve">B. Gross saving by assumption set (before offsets)</t>
  </si>
  <si>
    <t xml:space="preserve">Metric</t>
  </si>
  <si>
    <t xml:space="preserve">Snowflake effective cost per TB (S)</t>
  </si>
  <si>
    <t xml:space="preserve">Linked from Inputs - On-Demand.</t>
  </si>
  <si>
    <t xml:space="preserve">Gross saving % of baseline</t>
  </si>
  <si>
    <t xml:space="preserve">1 − (k × A ÷ S). Independent of baseline size.</t>
  </si>
  <si>
    <t xml:space="preserve">C. Break-even throughput per Snowflake warehouse</t>
  </si>
  <si>
    <t xml:space="preserve">TB a warehouse must scan per billed hour for Snowflake to cost the same as Athena on-demand. Below this, Athena is cheaper.</t>
  </si>
  <si>
    <t xml:space="preserve">Credits/hr (Gen1)</t>
  </si>
  <si>
    <t xml:space="preserve">Cost per billed hour (Gen1)</t>
  </si>
  <si>
    <t xml:space="preserve">Break-even TB/hr @ list $/TB</t>
  </si>
  <si>
    <t xml:space="preserve">Break-even TB/hr @ effective $/TB</t>
  </si>
  <si>
    <t xml:space="preserve">Cost per billed hour (Gen2)</t>
  </si>
  <si>
    <t xml:space="preserve">Break-even TB/hr Gen2 @ effective</t>
  </si>
  <si>
    <t xml:space="preserve">(credits/hr × $/credit) ÷ $/TB. Billed hours include idle time and 60-second resume minimums.</t>
  </si>
  <si>
    <t xml:space="preserve">D1. Scenario matrix — Conservative assumptions</t>
  </si>
  <si>
    <t xml:space="preserve">Metric ($/yr unless stated)</t>
  </si>
  <si>
    <t xml:space="preserve">Baseline Snowflake spend (B)</t>
  </si>
  <si>
    <t xml:space="preserve">Linked from Inputs - Common.</t>
  </si>
  <si>
    <t xml:space="preserve">In plausible band</t>
  </si>
  <si>
    <t xml:space="preserve">From section B for this assumption set.</t>
  </si>
  <si>
    <t xml:space="preserve">Implied TB scanned by Snowflake per year</t>
  </si>
  <si>
    <t xml:space="preserve">B ÷ S.</t>
  </si>
  <si>
    <t xml:space="preserve">Athena TB scanned per year</t>
  </si>
  <si>
    <t xml:space="preserve">Snowflake TB × k.</t>
  </si>
  <si>
    <t xml:space="preserve">Athena compute</t>
  </si>
  <si>
    <t xml:space="preserve">Athena TB × A (= B × k × A ÷ S).</t>
  </si>
  <si>
    <t xml:space="preserve">Gross saving</t>
  </si>
  <si>
    <t xml:space="preserve">B − Athena compute.</t>
  </si>
  <si>
    <t xml:space="preserve">Offset: table maintenance</t>
  </si>
  <si>
    <t xml:space="preserve">Maintenance % × Athena compute.</t>
  </si>
  <si>
    <t xml:space="preserve">Offset: Snowflake-side refresh</t>
  </si>
  <si>
    <t xml:space="preserve">Fixed annual allowance.</t>
  </si>
  <si>
    <t xml:space="preserve">Offset: small-query minimum allowance</t>
  </si>
  <si>
    <t xml:space="preserve">Fixed annual allowance (on-demand only).</t>
  </si>
  <si>
    <t xml:space="preserve">Offset: second governance estate</t>
  </si>
  <si>
    <t xml:space="preserve">Governance FTE × FTE cost.</t>
  </si>
  <si>
    <t xml:space="preserve">Gross saving − all offsets.</t>
  </si>
  <si>
    <t xml:space="preserve">Net saving % of baseline</t>
  </si>
  <si>
    <t xml:space="preserve">Net ÷ B.</t>
  </si>
  <si>
    <t xml:space="preserve">D2. Scenario matrix — Mid assumptions</t>
  </si>
  <si>
    <t xml:space="preserve">D3. Scenario matrix — Optimistic assumptions</t>
  </si>
  <si>
    <t xml:space="preserve">Calculations — Analysis B: Athena capacity reservations</t>
  </si>
  <si>
    <t xml:space="preserve">A. Ratios by assumption set</t>
  </si>
  <si>
    <t xml:space="preserve">Linked from Inputs - Reservations.</t>
  </si>
  <si>
    <t xml:space="preserve">DPU-hours per productive credit-hour (E)</t>
  </si>
  <si>
    <t xml:space="preserve">Athena-to-Snowflake cost ratio (before S3/Glue)</t>
  </si>
  <si>
    <t xml:space="preserve">(Usf × E × $/DPU-hour) ÷ (Uath × $/credit).</t>
  </si>
  <si>
    <t xml:space="preserve">Gross saving % (before S3/Glue)</t>
  </si>
  <si>
    <t xml:space="preserve">1 − cost ratio. Independent of baseline size.</t>
  </si>
  <si>
    <t xml:space="preserve">Break-even E* (DPU-hours per credit-hour)</t>
  </si>
  <si>
    <t xml:space="preserve">(Uath × $/credit) ÷ (Usf × $/DPU-hour). Reservations are cheaper whenever the true E is below E*.</t>
  </si>
  <si>
    <t xml:space="preserve">Assumed E as % of break-even</t>
  </si>
  <si>
    <t xml:space="preserve">E ÷ E*. Above 100% means reservations cost more than Snowflake before offsets.</t>
  </si>
  <si>
    <t xml:space="preserve">B. Reservations vs. on-demand crossover (Athena only)</t>
  </si>
  <si>
    <t xml:space="preserve">TB scanned per reserved DPU-hour at which reservations match on-demand</t>
  </si>
  <si>
    <t xml:space="preserve">TB per DPU-hour</t>
  </si>
  <si>
    <t xml:space="preserve">$/DPU-hour ÷ $/TB. If each reserved DPU-hour scans more than this (at achieved utilization), reservations beat on-demand.</t>
  </si>
  <si>
    <t xml:space="preserve">C1. Scenario matrix — Conservative assumptions</t>
  </si>
  <si>
    <t xml:space="preserve">Billed Snowflake credits per year</t>
  </si>
  <si>
    <t xml:space="preserve">B ÷ $/credit.</t>
  </si>
  <si>
    <t xml:space="preserve">Productive credit-hours</t>
  </si>
  <si>
    <t xml:space="preserve">Billed credits × Usf.</t>
  </si>
  <si>
    <t xml:space="preserve">Athena DPU-hours needed</t>
  </si>
  <si>
    <t xml:space="preserve">Productive credit-hours × E.</t>
  </si>
  <si>
    <t xml:space="preserve">Athena DPU-hours reserved</t>
  </si>
  <si>
    <t xml:space="preserve">DPU-hours needed ÷ Uath.</t>
  </si>
  <si>
    <t xml:space="preserve">Average reserved DPUs (count)</t>
  </si>
  <si>
    <t xml:space="preserve">Reserved DPU-hours ÷ hours per year.</t>
  </si>
  <si>
    <t xml:space="preserve">Exceeds per-account/region DPU limit?</t>
  </si>
  <si>
    <t xml:space="preserve">Compares the average (peaks are higher) with the 1,000-DPU account/region limit.</t>
  </si>
  <si>
    <t xml:space="preserve">Reservation cost</t>
  </si>
  <si>
    <t xml:space="preserve">Reserved DPU-hours × $/DPU-hour.</t>
  </si>
  <si>
    <t xml:space="preserve">Estimated TB scanned per year (for S3/Glue)</t>
  </si>
  <si>
    <t xml:space="preserve">k × B ÷ reference S.</t>
  </si>
  <si>
    <t xml:space="preserve">S3/Glue request overhead</t>
  </si>
  <si>
    <t xml:space="preserve">Estimated TB × $/TB overhead.</t>
  </si>
  <si>
    <t xml:space="preserve">Athena compute (reservation + S3/Glue)</t>
  </si>
  <si>
    <t xml:space="preserve">Reservation cost + S3/Glue overhead.</t>
  </si>
  <si>
    <t xml:space="preserve">Maintenance % × reservation cost.</t>
  </si>
  <si>
    <t xml:space="preserve">C2. Scenario matrix — Mid assumptions</t>
  </si>
  <si>
    <t xml:space="preserve">C3. Scenario matrix — Optimistic assumptions</t>
  </si>
  <si>
    <t xml:space="preserve">Outcomes — Analysis A: Athena on-demand</t>
  </si>
  <si>
    <t xml:space="preserve">ROM only (±50% at best). Driven entirely by the Inputs tabs. Negative values (red, in parentheses) are a net cost.</t>
  </si>
  <si>
    <t xml:space="preserve">Full methodology and caveats:</t>
  </si>
  <si>
    <t xml:space="preserve">Doc §6 Analysis A</t>
  </si>
  <si>
    <t xml:space="preserve">1. Net annual saving ($M)</t>
  </si>
  <si>
    <t xml:space="preserve">Gross saving minus maintenance, Snowflake refresh, small-query allowance and governance offsets.</t>
  </si>
  <si>
    <t xml:space="preserve">Annual spend</t>
  </si>
  <si>
    <t xml:space="preserve">Plausible band</t>
  </si>
  <si>
    <t xml:space="preserve">Plausible-band minimum</t>
  </si>
  <si>
    <t xml:space="preserve">Y rows only</t>
  </si>
  <si>
    <t xml:space="preserve">Plausible-band maximum</t>
  </si>
  <si>
    <t xml:space="preserve">2. Athena compute cost ($M)</t>
  </si>
  <si>
    <t xml:space="preserve">Annual Athena on-demand charges for the same work, including S3/Glue request overhead.</t>
  </si>
  <si>
    <t xml:space="preserve">3. Gross saving % (before offsets)</t>
  </si>
  <si>
    <t xml:space="preserve">1 − (k × A ÷ S). The same for every baseline.</t>
  </si>
  <si>
    <t xml:space="preserve">Gross saving %</t>
  </si>
  <si>
    <t xml:space="preserve">Snowflake cost per TB (S) used</t>
  </si>
  <si>
    <t xml:space="preserve">Break-even S (no saving below this)</t>
  </si>
  <si>
    <t xml:space="preserve">4. Break-even throughput (TB scanned per billed warehouse hour)</t>
  </si>
  <si>
    <t xml:space="preserve">A Snowflake warehouse scanning less than this per billed hour costs more than Athena on-demand for the same scans.</t>
  </si>
  <si>
    <t xml:space="preserve">Cost/hr (Gen1)</t>
  </si>
  <si>
    <t xml:space="preserve">@ list $/TB</t>
  </si>
  <si>
    <t xml:space="preserve">@ effective $/TB</t>
  </si>
  <si>
    <t xml:space="preserve">Gen2 @ effective</t>
  </si>
  <si>
    <t xml:space="preserve">How to read these results</t>
  </si>
  <si>
    <t xml:space="preserve">Savings rise with S: the more Snowflake pays per TB scanned (idle time, oversizing, resume minimums), the more Athena saves.</t>
  </si>
  <si>
    <t xml:space="preserve">Doc §6.5 Drivers</t>
  </si>
  <si>
    <t xml:space="preserve">Frequent MERGE into large Silver tables re-scans those tables each run and erodes on-demand savings.</t>
  </si>
  <si>
    <t xml:space="preserve">Replace S and k with measured values before relying on any figure.</t>
  </si>
  <si>
    <t xml:space="preserve">Doc §9 Calibration</t>
  </si>
  <si>
    <t xml:space="preserve">Snowflake capacity commitments, one-time migration effort and CDC apply compute are outside this model.</t>
  </si>
  <si>
    <t xml:space="preserve">Doc §8.3 Outside the model</t>
  </si>
  <si>
    <t xml:space="preserve">Outcomes — Analysis B: Athena capacity reservations</t>
  </si>
  <si>
    <t xml:space="preserve">Doc §7 Analysis B</t>
  </si>
  <si>
    <t xml:space="preserve">Gross saving minus maintenance, Snowflake refresh and governance offsets.</t>
  </si>
  <si>
    <t xml:space="preserve">2. Average reserved DPUs (count)</t>
  </si>
  <si>
    <t xml:space="preserve">Reserved DPU-hours ÷ hours per year. Peaks are higher. Compare with the account/region limit.</t>
  </si>
  <si>
    <t xml:space="preserve">3. Exceeds per-account/region DPU limit?</t>
  </si>
  <si>
    <t xml:space="preserve">YES means the case needs multiple AWS accounts, a quota review, or on-demand overflow.</t>
  </si>
  <si>
    <t xml:space="preserve">4. Athena compute cost ($M)</t>
  </si>
  <si>
    <t xml:space="preserve">Reservation cost plus S3/Glue request overhead.</t>
  </si>
  <si>
    <t xml:space="preserve">5. Efficiency ratios (the key sensitivity)</t>
  </si>
  <si>
    <t xml:space="preserve">Reservations save money only while the assumed E stays below the break-even E*.</t>
  </si>
  <si>
    <t xml:space="preserve">Assumed E (DPU-hours per credit-hour)</t>
  </si>
  <si>
    <t xml:space="preserve">Break-even E*</t>
  </si>
  <si>
    <t xml:space="preserve">Reservations beat on-demand above (TB per DPU-hour)</t>
  </si>
  <si>
    <t xml:space="preserve">Doc §8.2 Crossover</t>
  </si>
  <si>
    <t xml:space="preserve">E (Athena DPU-hours per productive Snowflake credit-hour) is unmeasured; Snowflake does not publish the hardware behind a credit. Benchmark it.</t>
  </si>
  <si>
    <t xml:space="preserve">Doc §9.2 Benchmark</t>
  </si>
  <si>
    <t xml:space="preserve">Savings depend on scaling reservations to the processing schedule; idle reserved DPUs are billed.</t>
  </si>
  <si>
    <t xml:space="preserve">Queries on reserved capacity are not subject to on-demand DML concurrency quotas.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</si>
</sst>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.00"/>
    <numFmt numFmtId="166" formatCode="0.00"/>
    <numFmt numFmtId="167" formatCode="#,##0"/>
    <numFmt numFmtId="168" formatCode="0.0%;[RED]\-0.0%;\-"/>
    <numFmt numFmtId="169" formatCode="\$#,##0;[RED]&quot;($&quot;#,##0\);\-"/>
    <numFmt numFmtId="170" formatCode="#,##0.0"/>
    <numFmt numFmtId="171" formatCode="0.000"/>
    <numFmt numFmtId="172" formatCode="\$#,##0.00,,\M;[RED]&quot;($&quot;#,##0.00,,&quot;M)&quot;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F2F2F2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2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true"/>
        <i val="false"/>
        <color rgb="FFC00000"/>
      </font>
      <fill>
        <patternFill patternType="solid"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ost.dev/posts/iceberg-interoperability-has-a-bill/iceberg-athena-vs-snowflake-calculator-method" TargetMode="External"/><Relationship Id="rId2" Type="http://schemas.openxmlformats.org/officeDocument/2006/relationships/hyperlink" Target="https://eost.dev/posts/iceberg-interoperability-has-a-bill/iceberg-athena-vs-snowflake-calculator-method" TargetMode="External"/><Relationship Id="rId3" Type="http://schemas.openxmlformats.org/officeDocument/2006/relationships/hyperlink" Target="https://eost.dev/posts/iceberg-interoperability-has-a-bill/iceberg-athena-vs-snowflake-calculator-method" TargetMode="External"/><Relationship Id="rId4" Type="http://schemas.openxmlformats.org/officeDocument/2006/relationships/hyperlink" Target="https://eost.dev/posts/iceberg-interoperability-has-a-bill/iceberg-athena-vs-snowflake-calculator-method" TargetMode="External"/><Relationship Id="rId5" Type="http://schemas.openxmlformats.org/officeDocument/2006/relationships/hyperlink" Target="https://eost.dev/posts/iceberg-interoperability-has-a-bill/iceberg-athena-vs-snowflake-calculator-method" TargetMode="External"/><Relationship Id="rId6" Type="http://schemas.openxmlformats.org/officeDocument/2006/relationships/hyperlink" Target="https://eost.dev/posts/iceberg-interoperability-has-a-bill/iceberg-athena-vs-snowflake-calculator-method" TargetMode="External"/><Relationship Id="rId7" Type="http://schemas.openxmlformats.org/officeDocument/2006/relationships/hyperlink" Target="https://eost.dev/posts/iceberg-interoperability-has-a-bill/iceberg-athena-vs-snowflake-calculator-method" TargetMode="External"/><Relationship Id="rId8" Type="http://schemas.openxmlformats.org/officeDocument/2006/relationships/hyperlink" Target="https://eost.dev/posts/iceberg-interoperability-has-a-bill/iceberg-athena-vs-snowflake-calculator-method" TargetMode="External"/><Relationship Id="rId9" Type="http://schemas.openxmlformats.org/officeDocument/2006/relationships/hyperlink" Target="https://eost.dev/posts/iceberg-interoperability-has-a-bill/iceberg-athena-vs-snowflake-calculator-method" TargetMode="External"/><Relationship Id="rId10" Type="http://schemas.openxmlformats.org/officeDocument/2006/relationships/hyperlink" Target="https://eost.dev/posts/iceberg-interoperability-has-a-bill/iceberg-athena-vs-snowflake-calculator-method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eost.dev/posts/iceberg-interoperability-has-a-bill/iceberg-athena-vs-snowflake-calculator-method" TargetMode="External"/><Relationship Id="rId2" Type="http://schemas.openxmlformats.org/officeDocument/2006/relationships/hyperlink" Target="https://eost.dev/posts/iceberg-interoperability-has-a-bill/iceberg-athena-vs-snowflake-calculator-method" TargetMode="External"/><Relationship Id="rId3" Type="http://schemas.openxmlformats.org/officeDocument/2006/relationships/hyperlink" Target="https://eost.dev/posts/iceberg-interoperability-has-a-bill/iceberg-athena-vs-snowflake-calculator-method" TargetMode="External"/><Relationship Id="rId4" Type="http://schemas.openxmlformats.org/officeDocument/2006/relationships/hyperlink" Target="https://eost.dev/posts/iceberg-interoperability-has-a-bill/iceberg-athena-vs-snowflake-calculator-method" TargetMode="External"/><Relationship Id="rId5" Type="http://schemas.openxmlformats.org/officeDocument/2006/relationships/hyperlink" Target="https://eost.dev/posts/iceberg-interoperability-has-a-bill/iceberg-athena-vs-snowflake-calculator-method" TargetMode="External"/><Relationship Id="rId6" Type="http://schemas.openxmlformats.org/officeDocument/2006/relationships/hyperlink" Target="https://eost.dev/posts/iceberg-interoperability-has-a-bill/iceberg-athena-vs-snowflake-calculator-method" TargetMode="External"/><Relationship Id="rId7" Type="http://schemas.openxmlformats.org/officeDocument/2006/relationships/hyperlink" Target="https://eost.dev/posts/iceberg-interoperability-has-a-bill/iceberg-athena-vs-snowflake-calculator-method" TargetMode="External"/><Relationship Id="rId8" Type="http://schemas.openxmlformats.org/officeDocument/2006/relationships/hyperlink" Target="https://eost.dev/posts/iceberg-interoperability-has-a-bill/iceberg-athena-vs-snowflake-calculator-method" TargetMode="External"/><Relationship Id="rId9" Type="http://schemas.openxmlformats.org/officeDocument/2006/relationships/hyperlink" Target="https://eost.dev/posts/iceberg-interoperability-has-a-bill/iceberg-athena-vs-snowflake-calculator-method" TargetMode="External"/><Relationship Id="rId10" Type="http://schemas.openxmlformats.org/officeDocument/2006/relationships/hyperlink" Target="https://eost.dev/posts/iceberg-interoperability-has-a-bill/iceberg-athena-vs-snowflake-calculator-method" TargetMode="External"/><Relationship Id="rId11" Type="http://schemas.openxmlformats.org/officeDocument/2006/relationships/hyperlink" Target="https://eost.dev/posts/iceberg-interoperability-has-a-bill/iceberg-athena-vs-snowflake-calculator-method" TargetMode="External"/><Relationship Id="rId12" Type="http://schemas.openxmlformats.org/officeDocument/2006/relationships/hyperlink" Target="https://eost.dev/posts/iceberg-interoperability-has-a-bill/iceberg-athena-vs-snowflake-calculator-method" TargetMode="External"/><Relationship Id="rId13" Type="http://schemas.openxmlformats.org/officeDocument/2006/relationships/hyperlink" Target="https://eost.dev/posts/iceberg-interoperability-has-a-bill/iceberg-athena-vs-snowflake-calculator-method" TargetMode="External"/><Relationship Id="rId14" Type="http://schemas.openxmlformats.org/officeDocument/2006/relationships/hyperlink" Target="https://eost.dev/posts/iceberg-interoperability-has-a-bill/iceberg-athena-vs-snowflake-calculator-method" TargetMode="External"/><Relationship Id="rId15" Type="http://schemas.openxmlformats.org/officeDocument/2006/relationships/hyperlink" Target="https://eost.dev/posts/iceberg-interoperability-has-a-bill/iceberg-athena-vs-snowflake-calculator-method" TargetMode="External"/><Relationship Id="rId16" Type="http://schemas.openxmlformats.org/officeDocument/2006/relationships/hyperlink" Target="https://eost.dev/posts/iceberg-interoperability-has-a-bill/iceberg-athena-vs-snowflake-calculator-method" TargetMode="External"/><Relationship Id="rId17" Type="http://schemas.openxmlformats.org/officeDocument/2006/relationships/hyperlink" Target="https://eost.dev/posts/iceberg-interoperability-has-a-bill/iceberg-athena-vs-snowflake-calculator-method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eost.dev/posts/iceberg-interoperability-has-a-bill/iceberg-athena-vs-snowflake-calculator-method" TargetMode="External"/><Relationship Id="rId2" Type="http://schemas.openxmlformats.org/officeDocument/2006/relationships/hyperlink" Target="https://eost.dev/posts/iceberg-interoperability-has-a-bill/iceberg-athena-vs-snowflake-calculator-method" TargetMode="External"/><Relationship Id="rId3" Type="http://schemas.openxmlformats.org/officeDocument/2006/relationships/hyperlink" Target="https://eost.dev/posts/iceberg-interoperability-has-a-bill/iceberg-athena-vs-snowflake-calculator-method" TargetMode="External"/><Relationship Id="rId4" Type="http://schemas.openxmlformats.org/officeDocument/2006/relationships/hyperlink" Target="https://eost.dev/posts/iceberg-interoperability-has-a-bill/iceberg-athena-vs-snowflake-calculator-method" TargetMode="External"/><Relationship Id="rId5" Type="http://schemas.openxmlformats.org/officeDocument/2006/relationships/hyperlink" Target="https://eost.dev/posts/iceberg-interoperability-has-a-bill/iceberg-athena-vs-snowflake-calculator-method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eost.dev/posts/iceberg-interoperability-has-a-bill/iceberg-athena-vs-snowflake-calculator-method" TargetMode="External"/><Relationship Id="rId2" Type="http://schemas.openxmlformats.org/officeDocument/2006/relationships/hyperlink" Target="https://eost.dev/posts/iceberg-interoperability-has-a-bill/iceberg-athena-vs-snowflake-calculator-method" TargetMode="External"/><Relationship Id="rId3" Type="http://schemas.openxmlformats.org/officeDocument/2006/relationships/hyperlink" Target="https://eost.dev/posts/iceberg-interoperability-has-a-bill/iceberg-athena-vs-snowflake-calculator-method" TargetMode="External"/><Relationship Id="rId4" Type="http://schemas.openxmlformats.org/officeDocument/2006/relationships/hyperlink" Target="https://eost.dev/posts/iceberg-interoperability-has-a-bill/iceberg-athena-vs-snowflake-calculator-method" TargetMode="External"/><Relationship Id="rId5" Type="http://schemas.openxmlformats.org/officeDocument/2006/relationships/hyperlink" Target="https://eost.dev/posts/iceberg-interoperability-has-a-bill/iceberg-athena-vs-snowflake-calculator-method" TargetMode="External"/><Relationship Id="rId6" Type="http://schemas.openxmlformats.org/officeDocument/2006/relationships/hyperlink" Target="https://eost.dev/posts/iceberg-interoperability-has-a-bill/iceberg-athena-vs-snowflake-calculator-method" TargetMode="External"/><Relationship Id="rId7" Type="http://schemas.openxmlformats.org/officeDocument/2006/relationships/hyperlink" Target="https://eost.dev/posts/iceberg-interoperability-has-a-bill/iceberg-athena-vs-snowflake-calculator-method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eost.dev/posts/iceberg-interoperability-has-a-bill/iceberg-athena-vs-snowflake-calculator-method" TargetMode="External"/><Relationship Id="rId2" Type="http://schemas.openxmlformats.org/officeDocument/2006/relationships/hyperlink" Target="https://eost.dev/posts/iceberg-interoperability-has-a-bill/iceberg-athena-vs-snowflake-calculator-method" TargetMode="External"/><Relationship Id="rId3" Type="http://schemas.openxmlformats.org/officeDocument/2006/relationships/hyperlink" Target="https://eost.dev/posts/iceberg-interoperability-has-a-bill/iceberg-athena-vs-snowflake-calculator-method" TargetMode="External"/><Relationship Id="rId4" Type="http://schemas.openxmlformats.org/officeDocument/2006/relationships/hyperlink" Target="https://eost.dev/posts/iceberg-interoperability-has-a-bill/iceberg-athena-vs-snowflake-calculator-method" TargetMode="External"/><Relationship Id="rId5" Type="http://schemas.openxmlformats.org/officeDocument/2006/relationships/hyperlink" Target="https://eost.dev/posts/iceberg-interoperability-has-a-bill/iceberg-athena-vs-snowflake-calculator-method" TargetMode="External"/><Relationship Id="rId6" Type="http://schemas.openxmlformats.org/officeDocument/2006/relationships/hyperlink" Target="https://eost.dev/posts/iceberg-interoperability-has-a-bill/iceberg-athena-vs-snowflake-calculator-method" TargetMode="External"/><Relationship Id="rId7" Type="http://schemas.openxmlformats.org/officeDocument/2006/relationships/hyperlink" Target="https://eost.dev/posts/iceberg-interoperability-has-a-bill/iceberg-athena-vs-snowflake-calculator-method" TargetMode="External"/><Relationship Id="rId8" Type="http://schemas.openxmlformats.org/officeDocument/2006/relationships/hyperlink" Target="https://eost.dev/posts/iceberg-interoperability-has-a-bill/iceberg-athena-vs-snowflake-calculator-method" TargetMode="External"/><Relationship Id="rId9" Type="http://schemas.openxmlformats.org/officeDocument/2006/relationships/hyperlink" Target="https://eost.dev/posts/iceberg-interoperability-has-a-bill/iceberg-athena-vs-snowflake-calculator-method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eost.dev/posts/iceberg-interoperability-has-a-bill/iceberg-athena-vs-snowflake-calculator-method" TargetMode="External"/><Relationship Id="rId2" Type="http://schemas.openxmlformats.org/officeDocument/2006/relationships/hyperlink" Target="https://eost.dev/posts/iceberg-interoperability-has-a-bill/iceberg-athena-vs-snowflake-calculator-method" TargetMode="External"/><Relationship Id="rId3" Type="http://schemas.openxmlformats.org/officeDocument/2006/relationships/hyperlink" Target="https://eost.dev/posts/iceberg-interoperability-has-a-bill/iceberg-athena-vs-snowflake-calculator-method" TargetMode="External"/><Relationship Id="rId4" Type="http://schemas.openxmlformats.org/officeDocument/2006/relationships/hyperlink" Target="https://eost.dev/posts/iceberg-interoperability-has-a-bill/iceberg-athena-vs-snowflake-calculator-method" TargetMode="External"/><Relationship Id="rId5" Type="http://schemas.openxmlformats.org/officeDocument/2006/relationships/hyperlink" Target="https://eost.dev/posts/iceberg-interoperability-has-a-bill/iceberg-athena-vs-snowflake-calculator-method" TargetMode="External"/><Relationship Id="rId6" Type="http://schemas.openxmlformats.org/officeDocument/2006/relationships/hyperlink" Target="https://eost.dev/posts/iceberg-interoperability-has-a-bill/iceberg-athena-vs-snowflake-calculator-method" TargetMode="External"/><Relationship Id="rId7" Type="http://schemas.openxmlformats.org/officeDocument/2006/relationships/hyperlink" Target="https://eost.dev/posts/iceberg-interoperability-has-a-bill/iceberg-athena-vs-snowflake-calculator-method" TargetMode="External"/><Relationship Id="rId8" Type="http://schemas.openxmlformats.org/officeDocument/2006/relationships/hyperlink" Target="https://eost.dev/posts/iceberg-interoperability-has-a-bill/iceberg-athena-vs-snowflake-calculator-method" TargetMode="External"/><Relationship Id="rId9" Type="http://schemas.openxmlformats.org/officeDocument/2006/relationships/hyperlink" Target="https://eost.dev/posts/iceberg-interoperability-has-a-bill/iceberg-athena-vs-snowflake-calculator-method" TargetMode="External"/><Relationship Id="rId10" Type="http://schemas.openxmlformats.org/officeDocument/2006/relationships/hyperlink" Target="https://eost.dev/posts/iceberg-interoperability-has-a-bill/iceberg-athena-vs-snowflake-calculator-method" TargetMode="External"/><Relationship Id="rId11" Type="http://schemas.openxmlformats.org/officeDocument/2006/relationships/hyperlink" Target="https://eost.dev/posts/iceberg-interoperability-has-a-bill/iceberg-athena-vs-snowflake-calculator-method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70"/>
    <col collapsed="false" customWidth="true" hidden="false" outlineLevel="0" max="3" min="3" style="0" width="26"/>
    <col collapsed="false" customWidth="true" hidden="false" outlineLevel="0" max="4" min="4" style="0" width="3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s">
        <v>2</v>
      </c>
    </row>
    <row r="4" customFormat="false" ht="15" hidden="false" customHeight="false" outlineLevel="0" collapsed="false">
      <c r="A4" s="2" t="s">
        <v>3</v>
      </c>
      <c r="B4" s="3" t="s">
        <v>4</v>
      </c>
    </row>
    <row r="5" customFormat="false" ht="15" hidden="false" customHeight="false" outlineLevel="0" collapsed="false">
      <c r="A5" s="2" t="s">
        <v>5</v>
      </c>
      <c r="B5" s="3" t="s">
        <v>6</v>
      </c>
    </row>
    <row r="6" customFormat="false" ht="15" hidden="false" customHeight="false" outlineLevel="0" collapsed="false">
      <c r="A6" s="2" t="s">
        <v>7</v>
      </c>
      <c r="B6" s="3" t="s">
        <v>8</v>
      </c>
    </row>
    <row r="7" customFormat="false" ht="15" hidden="false" customHeight="false" outlineLevel="0" collapsed="false">
      <c r="A7" s="2" t="s">
        <v>9</v>
      </c>
      <c r="B7" s="3" t="s">
        <v>10</v>
      </c>
    </row>
    <row r="8" customFormat="false" ht="15" hidden="false" customHeight="false" outlineLevel="0" collapsed="false">
      <c r="A8" s="2" t="s">
        <v>11</v>
      </c>
      <c r="B8" s="3" t="s">
        <v>12</v>
      </c>
      <c r="C8" s="4" t="s">
        <v>13</v>
      </c>
    </row>
    <row r="10" customFormat="false" ht="15" hidden="false" customHeight="false" outlineLevel="0" collapsed="false">
      <c r="A10" s="5" t="s">
        <v>14</v>
      </c>
    </row>
    <row r="11" customFormat="false" ht="15" hidden="false" customHeight="true" outlineLevel="0" collapsed="false">
      <c r="A11" s="6" t="s">
        <v>15</v>
      </c>
      <c r="B11" s="3" t="s">
        <v>16</v>
      </c>
      <c r="C11" s="3"/>
      <c r="D11" s="4" t="s">
        <v>17</v>
      </c>
    </row>
    <row r="12" customFormat="false" ht="30" hidden="false" customHeight="true" outlineLevel="0" collapsed="false">
      <c r="A12" s="6" t="s">
        <v>18</v>
      </c>
      <c r="B12" s="3" t="s">
        <v>19</v>
      </c>
      <c r="C12" s="3"/>
    </row>
    <row r="13" customFormat="false" ht="15" hidden="false" customHeight="true" outlineLevel="0" collapsed="false">
      <c r="A13" s="6" t="s">
        <v>20</v>
      </c>
      <c r="B13" s="3" t="s">
        <v>21</v>
      </c>
      <c r="C13" s="3"/>
    </row>
    <row r="14" customFormat="false" ht="15" hidden="false" customHeight="true" outlineLevel="0" collapsed="false">
      <c r="A14" s="6" t="s">
        <v>22</v>
      </c>
      <c r="B14" s="3" t="s">
        <v>23</v>
      </c>
      <c r="C14" s="3"/>
    </row>
    <row r="15" customFormat="false" ht="15" hidden="false" customHeight="true" outlineLevel="0" collapsed="false">
      <c r="A15" s="6" t="s">
        <v>24</v>
      </c>
      <c r="B15" s="3" t="s">
        <v>25</v>
      </c>
      <c r="C15" s="3"/>
      <c r="D15" s="4" t="s">
        <v>26</v>
      </c>
    </row>
    <row r="17" customFormat="false" ht="15" hidden="false" customHeight="false" outlineLevel="0" collapsed="false">
      <c r="A17" s="5" t="s">
        <v>27</v>
      </c>
    </row>
    <row r="18" customFormat="false" ht="15" hidden="false" customHeight="true" outlineLevel="0" collapsed="false">
      <c r="A18" s="6" t="s">
        <v>28</v>
      </c>
      <c r="B18" s="3" t="s">
        <v>29</v>
      </c>
      <c r="C18" s="3"/>
      <c r="D18" s="3"/>
    </row>
    <row r="19" customFormat="false" ht="15" hidden="false" customHeight="true" outlineLevel="0" collapsed="false">
      <c r="A19" s="6" t="s">
        <v>30</v>
      </c>
      <c r="B19" s="3" t="s">
        <v>31</v>
      </c>
      <c r="C19" s="3"/>
      <c r="D19" s="3"/>
    </row>
    <row r="20" customFormat="false" ht="15" hidden="false" customHeight="true" outlineLevel="0" collapsed="false">
      <c r="A20" s="6" t="s">
        <v>32</v>
      </c>
      <c r="B20" s="3" t="s">
        <v>33</v>
      </c>
      <c r="C20" s="3"/>
      <c r="D20" s="3"/>
    </row>
    <row r="21" customFormat="false" ht="15" hidden="false" customHeight="true" outlineLevel="0" collapsed="false">
      <c r="A21" s="6" t="s">
        <v>34</v>
      </c>
      <c r="B21" s="3" t="s">
        <v>35</v>
      </c>
      <c r="C21" s="3"/>
      <c r="D21" s="3"/>
    </row>
    <row r="22" customFormat="false" ht="15" hidden="false" customHeight="true" outlineLevel="0" collapsed="false">
      <c r="A22" s="6" t="s">
        <v>36</v>
      </c>
      <c r="B22" s="3" t="s">
        <v>37</v>
      </c>
      <c r="C22" s="3"/>
      <c r="D22" s="3"/>
    </row>
    <row r="24" customFormat="false" ht="15" hidden="false" customHeight="false" outlineLevel="0" collapsed="false">
      <c r="A24" s="5" t="s">
        <v>38</v>
      </c>
    </row>
    <row r="25" customFormat="false" ht="15" hidden="false" customHeight="true" outlineLevel="0" collapsed="false">
      <c r="A25" s="7" t="s">
        <v>39</v>
      </c>
      <c r="B25" s="3" t="s">
        <v>40</v>
      </c>
      <c r="C25" s="3"/>
      <c r="D25" s="3"/>
    </row>
    <row r="26" customFormat="false" ht="15" hidden="false" customHeight="true" outlineLevel="0" collapsed="false">
      <c r="A26" s="8" t="s">
        <v>41</v>
      </c>
      <c r="B26" s="3" t="s">
        <v>42</v>
      </c>
      <c r="C26" s="3"/>
      <c r="D26" s="3"/>
    </row>
    <row r="27" customFormat="false" ht="15" hidden="false" customHeight="true" outlineLevel="0" collapsed="false">
      <c r="A27" s="9" t="s">
        <v>43</v>
      </c>
      <c r="B27" s="3" t="s">
        <v>44</v>
      </c>
      <c r="C27" s="3"/>
      <c r="D27" s="3"/>
    </row>
    <row r="28" customFormat="false" ht="15" hidden="false" customHeight="true" outlineLevel="0" collapsed="false">
      <c r="A28" s="10" t="s">
        <v>45</v>
      </c>
      <c r="B28" s="3" t="s">
        <v>46</v>
      </c>
      <c r="C28" s="3"/>
      <c r="D28" s="3"/>
    </row>
    <row r="29" customFormat="false" ht="15" hidden="false" customHeight="true" outlineLevel="0" collapsed="false">
      <c r="A29" s="11" t="s">
        <v>47</v>
      </c>
      <c r="B29" s="3" t="s">
        <v>48</v>
      </c>
      <c r="C29" s="3"/>
      <c r="D29" s="3"/>
    </row>
    <row r="30" customFormat="false" ht="15" hidden="false" customHeight="true" outlineLevel="0" collapsed="false">
      <c r="A30" s="12" t="s">
        <v>49</v>
      </c>
      <c r="B30" s="3" t="s">
        <v>50</v>
      </c>
      <c r="C30" s="3"/>
      <c r="D30" s="3"/>
    </row>
    <row r="31" customFormat="false" ht="15" hidden="false" customHeight="false" outlineLevel="0" collapsed="false">
      <c r="A31" s="13" t="s">
        <v>51</v>
      </c>
    </row>
    <row r="33" customFormat="false" ht="15" hidden="false" customHeight="false" outlineLevel="0" collapsed="false">
      <c r="A33" s="5" t="s">
        <v>52</v>
      </c>
    </row>
    <row r="34" customFormat="false" ht="15" hidden="false" customHeight="false" outlineLevel="0" collapsed="false">
      <c r="A34" s="14" t="s">
        <v>53</v>
      </c>
      <c r="B34" s="14" t="s">
        <v>54</v>
      </c>
      <c r="C34" s="14" t="s">
        <v>55</v>
      </c>
      <c r="D34" s="14" t="s">
        <v>56</v>
      </c>
    </row>
    <row r="35" customFormat="false" ht="23.85" hidden="false" customHeight="false" outlineLevel="0" collapsed="false">
      <c r="A35" s="15" t="s">
        <v>57</v>
      </c>
      <c r="B35" s="3" t="s">
        <v>58</v>
      </c>
      <c r="C35" s="4" t="s">
        <v>59</v>
      </c>
      <c r="D35" s="4" t="s">
        <v>60</v>
      </c>
    </row>
    <row r="36" customFormat="false" ht="23.85" hidden="false" customHeight="false" outlineLevel="0" collapsed="false">
      <c r="A36" s="15" t="s">
        <v>61</v>
      </c>
      <c r="B36" s="3" t="s">
        <v>62</v>
      </c>
      <c r="C36" s="4" t="s">
        <v>63</v>
      </c>
      <c r="D36" s="4" t="s">
        <v>64</v>
      </c>
    </row>
    <row r="37" customFormat="false" ht="15" hidden="false" customHeight="false" outlineLevel="0" collapsed="false">
      <c r="A37" s="15" t="s">
        <v>65</v>
      </c>
      <c r="B37" s="3" t="s">
        <v>66</v>
      </c>
      <c r="C37" s="4" t="s">
        <v>67</v>
      </c>
      <c r="D37" s="4" t="s">
        <v>68</v>
      </c>
    </row>
    <row r="38" customFormat="false" ht="15" hidden="false" customHeight="false" outlineLevel="0" collapsed="false">
      <c r="A38" s="15" t="s">
        <v>69</v>
      </c>
      <c r="B38" s="3" t="s">
        <v>70</v>
      </c>
      <c r="C38" s="4" t="s">
        <v>71</v>
      </c>
      <c r="D38" s="4" t="s">
        <v>72</v>
      </c>
    </row>
    <row r="39" customFormat="false" ht="23.85" hidden="false" customHeight="false" outlineLevel="0" collapsed="false">
      <c r="A39" s="15" t="s">
        <v>73</v>
      </c>
      <c r="B39" s="3" t="s">
        <v>74</v>
      </c>
      <c r="C39" s="4" t="s">
        <v>75</v>
      </c>
      <c r="D39" s="4" t="s">
        <v>76</v>
      </c>
    </row>
    <row r="40" customFormat="false" ht="23.85" hidden="false" customHeight="false" outlineLevel="0" collapsed="false">
      <c r="A40" s="15" t="s">
        <v>77</v>
      </c>
      <c r="B40" s="3" t="s">
        <v>78</v>
      </c>
      <c r="C40" s="4" t="s">
        <v>79</v>
      </c>
      <c r="D40" s="4" t="s">
        <v>49</v>
      </c>
    </row>
    <row r="41" customFormat="false" ht="23.85" hidden="false" customHeight="false" outlineLevel="0" collapsed="false">
      <c r="A41" s="15" t="s">
        <v>80</v>
      </c>
      <c r="B41" s="3" t="s">
        <v>81</v>
      </c>
      <c r="C41" s="4" t="s">
        <v>82</v>
      </c>
      <c r="D41" s="4" t="s">
        <v>83</v>
      </c>
    </row>
    <row r="43" customFormat="false" ht="15" hidden="false" customHeight="false" outlineLevel="0" collapsed="false">
      <c r="A43" s="13" t="s">
        <v>84</v>
      </c>
    </row>
  </sheetData>
  <mergeCells count="16">
    <mergeCell ref="B11:C11"/>
    <mergeCell ref="B12:C12"/>
    <mergeCell ref="B13:C13"/>
    <mergeCell ref="B14:C14"/>
    <mergeCell ref="B15:C15"/>
    <mergeCell ref="B18:D18"/>
    <mergeCell ref="B19:D19"/>
    <mergeCell ref="B20:D20"/>
    <mergeCell ref="B21:D21"/>
    <mergeCell ref="B22:D22"/>
    <mergeCell ref="B25:D25"/>
    <mergeCell ref="B26:D26"/>
    <mergeCell ref="B27:D27"/>
    <mergeCell ref="B28:D28"/>
    <mergeCell ref="B29:D29"/>
    <mergeCell ref="B30:D30"/>
  </mergeCells>
  <hyperlinks>
    <hyperlink ref="C8" r:id="rId1" location="summary" display="Open document summary"/>
    <hyperlink ref="D11" r:id="rId2" location="read-first" display="Doc §0 Read this first"/>
    <hyperlink ref="D15" r:id="rId3" location="calibration" display="Doc §9 Calibration plan"/>
    <hyperlink ref="C35" location="'Inputs - Common'!A1" display="Go to Inputs - Common"/>
    <hyperlink ref="D35" r:id="rId4" location="pricing-inputs" display="Doc §4–5 Inputs &amp; assumptions"/>
    <hyperlink ref="C36" location="'Inputs - On-Demand'!A1" display="Go to Inputs - On-Demand"/>
    <hyperlink ref="D36" r:id="rId5" location="od-parameters" display="Doc §6.3 Parameters"/>
    <hyperlink ref="C37" location="'Inputs - Reservations'!A1" display="Go to Inputs - Reservations"/>
    <hyperlink ref="D37" r:id="rId6" location="res-parameters" display="Doc §7.3 Parameters"/>
    <hyperlink ref="C38" location="'Calc - On-Demand'!A1" display="Go to Calc - On-Demand"/>
    <hyperlink ref="D38" r:id="rId7" location="od-model" display="Doc §6.2 Model"/>
    <hyperlink ref="C39" location="'Calc - Reservations'!A1" display="Go to Calc - Reservations"/>
    <hyperlink ref="D39" r:id="rId8" location="res-model" display="Doc §7.2 Model"/>
    <hyperlink ref="C40" location="'Outcomes - On-Demand'!A1" display="Go to Outcomes - On-Demand"/>
    <hyperlink ref="D40" r:id="rId9" location="od-results" display="Doc §6.4 Results"/>
    <hyperlink ref="C41" location="'Outcomes - Reservations'!A1" display="Go to Outcomes - Reservations"/>
    <hyperlink ref="D41" r:id="rId10" location="res-results" display="Doc §7.4 Result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ignoredErrors>
    <ignoredError sqref="A11:A15 A25:A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58"/>
    <col collapsed="false" customWidth="true" hidden="false" outlineLevel="0" max="6" min="6" style="0" width="52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1" t="s">
        <v>85</v>
      </c>
    </row>
    <row r="2" customFormat="false" ht="27.75" hidden="false" customHeight="true" outlineLevel="0" collapsed="false">
      <c r="A2" s="13" t="s">
        <v>86</v>
      </c>
    </row>
    <row r="4" customFormat="false" ht="15" hidden="false" customHeight="false" outlineLevel="0" collapsed="false">
      <c r="A4" s="5" t="s">
        <v>87</v>
      </c>
    </row>
    <row r="5" customFormat="false" ht="15" hidden="false" customHeight="true" outlineLevel="0" collapsed="false">
      <c r="A5" s="14" t="s">
        <v>88</v>
      </c>
      <c r="B5" s="14" t="s">
        <v>89</v>
      </c>
      <c r="C5" s="14" t="s">
        <v>90</v>
      </c>
      <c r="D5" s="14"/>
      <c r="E5" s="14" t="s">
        <v>91</v>
      </c>
      <c r="F5" s="14" t="s">
        <v>92</v>
      </c>
      <c r="G5" s="14" t="s">
        <v>93</v>
      </c>
    </row>
    <row r="6" customFormat="false" ht="40" hidden="false" customHeight="true" outlineLevel="0" collapsed="false">
      <c r="A6" s="15" t="s">
        <v>94</v>
      </c>
      <c r="B6" s="16" t="n">
        <v>3.5</v>
      </c>
      <c r="C6" s="3" t="s">
        <v>95</v>
      </c>
      <c r="D6" s="3"/>
      <c r="E6" s="3" t="s">
        <v>96</v>
      </c>
      <c r="F6" s="3" t="s">
        <v>97</v>
      </c>
      <c r="G6" s="4" t="s">
        <v>98</v>
      </c>
    </row>
    <row r="7" customFormat="false" ht="27" hidden="false" customHeight="true" outlineLevel="0" collapsed="false">
      <c r="A7" s="15" t="s">
        <v>99</v>
      </c>
      <c r="B7" s="17" t="n">
        <v>1.35</v>
      </c>
      <c r="C7" s="3" t="s">
        <v>100</v>
      </c>
      <c r="D7" s="3"/>
      <c r="E7" s="3" t="s">
        <v>101</v>
      </c>
      <c r="F7" s="3" t="s">
        <v>102</v>
      </c>
      <c r="G7" s="4" t="s">
        <v>98</v>
      </c>
    </row>
    <row r="8" customFormat="false" ht="27" hidden="false" customHeight="true" outlineLevel="0" collapsed="false">
      <c r="A8" s="15" t="s">
        <v>103</v>
      </c>
      <c r="B8" s="18" t="n">
        <v>8760</v>
      </c>
      <c r="C8" s="3" t="s">
        <v>104</v>
      </c>
      <c r="D8" s="3"/>
      <c r="E8" s="3" t="s">
        <v>105</v>
      </c>
      <c r="F8" s="3" t="s">
        <v>106</v>
      </c>
      <c r="G8" s="4" t="s">
        <v>76</v>
      </c>
    </row>
    <row r="9" customFormat="false" ht="27" hidden="false" customHeight="true" outlineLevel="0" collapsed="false">
      <c r="A9" s="15" t="s">
        <v>107</v>
      </c>
      <c r="B9" s="19" t="n">
        <v>1.1</v>
      </c>
      <c r="C9" s="3" t="s">
        <v>108</v>
      </c>
      <c r="D9" s="3"/>
      <c r="E9" s="3" t="s">
        <v>109</v>
      </c>
      <c r="F9" s="3" t="s">
        <v>110</v>
      </c>
      <c r="G9" s="4" t="s">
        <v>64</v>
      </c>
    </row>
    <row r="10" customFormat="false" ht="27" hidden="false" customHeight="true" outlineLevel="0" collapsed="false">
      <c r="A10" s="15" t="s">
        <v>111</v>
      </c>
      <c r="B10" s="20" t="n">
        <v>0.5</v>
      </c>
      <c r="C10" s="3" t="s">
        <v>112</v>
      </c>
      <c r="D10" s="3"/>
      <c r="E10" s="3" t="s">
        <v>113</v>
      </c>
      <c r="F10" s="3" t="s">
        <v>114</v>
      </c>
      <c r="G10" s="4" t="s">
        <v>98</v>
      </c>
    </row>
    <row r="11" customFormat="false" ht="27" hidden="false" customHeight="true" outlineLevel="0" collapsed="false">
      <c r="A11" s="15" t="s">
        <v>115</v>
      </c>
      <c r="B11" s="21" t="n">
        <v>0.1</v>
      </c>
      <c r="C11" s="3" t="s">
        <v>116</v>
      </c>
      <c r="D11" s="3"/>
      <c r="E11" s="3" t="s">
        <v>117</v>
      </c>
      <c r="F11" s="3" t="s">
        <v>118</v>
      </c>
      <c r="G11" s="4" t="s">
        <v>119</v>
      </c>
    </row>
    <row r="12" customFormat="false" ht="27" hidden="false" customHeight="true" outlineLevel="0" collapsed="false">
      <c r="A12" s="15" t="s">
        <v>120</v>
      </c>
      <c r="B12" s="22" t="n">
        <v>20000</v>
      </c>
      <c r="C12" s="3" t="s">
        <v>121</v>
      </c>
      <c r="D12" s="3"/>
      <c r="E12" s="3" t="s">
        <v>122</v>
      </c>
      <c r="F12" s="3" t="s">
        <v>118</v>
      </c>
      <c r="G12" s="4" t="s">
        <v>119</v>
      </c>
    </row>
    <row r="13" customFormat="false" ht="27" hidden="false" customHeight="true" outlineLevel="0" collapsed="false">
      <c r="A13" s="15" t="s">
        <v>123</v>
      </c>
      <c r="B13" s="22" t="n">
        <v>200000</v>
      </c>
      <c r="C13" s="3" t="s">
        <v>124</v>
      </c>
      <c r="D13" s="3"/>
      <c r="E13" s="3" t="s">
        <v>125</v>
      </c>
      <c r="F13" s="3" t="s">
        <v>118</v>
      </c>
      <c r="G13" s="4" t="s">
        <v>119</v>
      </c>
    </row>
    <row r="15" customFormat="false" ht="15" hidden="false" customHeight="false" outlineLevel="0" collapsed="false">
      <c r="A15" s="5" t="s">
        <v>126</v>
      </c>
    </row>
    <row r="16" customFormat="false" ht="15" hidden="false" customHeight="false" outlineLevel="0" collapsed="false">
      <c r="A16" s="13" t="s">
        <v>127</v>
      </c>
    </row>
    <row r="17" customFormat="false" ht="23.85" hidden="false" customHeight="false" outlineLevel="0" collapsed="false">
      <c r="A17" s="14" t="s">
        <v>128</v>
      </c>
      <c r="B17" s="14" t="s">
        <v>129</v>
      </c>
      <c r="C17" s="14" t="s">
        <v>130</v>
      </c>
      <c r="D17" s="14" t="s">
        <v>131</v>
      </c>
      <c r="E17" s="14" t="s">
        <v>91</v>
      </c>
      <c r="F17" s="14" t="s">
        <v>92</v>
      </c>
      <c r="G17" s="14" t="s">
        <v>93</v>
      </c>
    </row>
    <row r="18" customFormat="false" ht="15" hidden="false" customHeight="false" outlineLevel="0" collapsed="false">
      <c r="A18" s="15" t="s">
        <v>132</v>
      </c>
      <c r="B18" s="23" t="n">
        <v>400000</v>
      </c>
      <c r="C18" s="17" t="n">
        <v>0.75</v>
      </c>
      <c r="D18" s="7" t="s">
        <v>133</v>
      </c>
      <c r="E18" s="3" t="s">
        <v>134</v>
      </c>
      <c r="F18" s="3" t="s">
        <v>135</v>
      </c>
      <c r="G18" s="4" t="s">
        <v>136</v>
      </c>
    </row>
    <row r="19" customFormat="false" ht="15" hidden="false" customHeight="false" outlineLevel="0" collapsed="false">
      <c r="A19" s="15" t="s">
        <v>137</v>
      </c>
      <c r="B19" s="23" t="n">
        <v>1000000</v>
      </c>
      <c r="C19" s="17" t="n">
        <v>1</v>
      </c>
      <c r="D19" s="7" t="s">
        <v>138</v>
      </c>
      <c r="E19" s="3" t="s">
        <v>139</v>
      </c>
      <c r="F19" s="3" t="s">
        <v>140</v>
      </c>
      <c r="G19" s="4" t="s">
        <v>136</v>
      </c>
    </row>
    <row r="20" customFormat="false" ht="15" hidden="false" customHeight="false" outlineLevel="0" collapsed="false">
      <c r="A20" s="15" t="s">
        <v>141</v>
      </c>
      <c r="B20" s="23" t="n">
        <v>1500000</v>
      </c>
      <c r="C20" s="17" t="n">
        <v>1.25</v>
      </c>
      <c r="D20" s="7" t="s">
        <v>138</v>
      </c>
      <c r="E20" s="3" t="s">
        <v>142</v>
      </c>
      <c r="F20" s="3" t="s">
        <v>143</v>
      </c>
      <c r="G20" s="4" t="s">
        <v>136</v>
      </c>
    </row>
    <row r="21" customFormat="false" ht="15" hidden="false" customHeight="false" outlineLevel="0" collapsed="false">
      <c r="A21" s="15" t="s">
        <v>144</v>
      </c>
      <c r="B21" s="23" t="n">
        <v>4000000</v>
      </c>
      <c r="C21" s="17" t="n">
        <v>2</v>
      </c>
      <c r="D21" s="7" t="s">
        <v>138</v>
      </c>
      <c r="E21" s="3" t="s">
        <v>145</v>
      </c>
      <c r="F21" s="3" t="s">
        <v>146</v>
      </c>
      <c r="G21" s="4" t="s">
        <v>136</v>
      </c>
    </row>
    <row r="23" customFormat="false" ht="15" hidden="false" customHeight="false" outlineLevel="0" collapsed="false">
      <c r="A23" s="5" t="s">
        <v>147</v>
      </c>
    </row>
    <row r="24" customFormat="false" ht="23.85" hidden="false" customHeight="false" outlineLevel="0" collapsed="false">
      <c r="A24" s="14" t="s">
        <v>148</v>
      </c>
      <c r="B24" s="14" t="s">
        <v>149</v>
      </c>
      <c r="C24" s="14"/>
      <c r="D24" s="14"/>
      <c r="E24" s="14" t="s">
        <v>91</v>
      </c>
      <c r="F24" s="14" t="s">
        <v>92</v>
      </c>
      <c r="G24" s="14" t="s">
        <v>93</v>
      </c>
    </row>
    <row r="25" customFormat="false" ht="15" hidden="false" customHeight="false" outlineLevel="0" collapsed="false">
      <c r="A25" s="15" t="s">
        <v>150</v>
      </c>
      <c r="B25" s="18" t="n">
        <v>1</v>
      </c>
      <c r="C25" s="3"/>
      <c r="D25" s="3"/>
      <c r="E25" s="3" t="s">
        <v>151</v>
      </c>
      <c r="F25" s="3" t="s">
        <v>152</v>
      </c>
      <c r="G25" s="4" t="s">
        <v>153</v>
      </c>
    </row>
    <row r="26" customFormat="false" ht="15" hidden="false" customHeight="false" outlineLevel="0" collapsed="false">
      <c r="A26" s="15" t="s">
        <v>154</v>
      </c>
      <c r="B26" s="18" t="n">
        <v>2</v>
      </c>
      <c r="C26" s="3"/>
      <c r="D26" s="3"/>
      <c r="E26" s="3" t="s">
        <v>151</v>
      </c>
      <c r="F26" s="3" t="s">
        <v>152</v>
      </c>
      <c r="G26" s="4" t="s">
        <v>153</v>
      </c>
    </row>
    <row r="27" customFormat="false" ht="15" hidden="false" customHeight="false" outlineLevel="0" collapsed="false">
      <c r="A27" s="15" t="s">
        <v>155</v>
      </c>
      <c r="B27" s="18" t="n">
        <v>4</v>
      </c>
      <c r="C27" s="3"/>
      <c r="D27" s="3"/>
      <c r="E27" s="3" t="s">
        <v>151</v>
      </c>
      <c r="F27" s="3" t="s">
        <v>152</v>
      </c>
      <c r="G27" s="4" t="s">
        <v>153</v>
      </c>
    </row>
    <row r="28" customFormat="false" ht="15" hidden="false" customHeight="false" outlineLevel="0" collapsed="false">
      <c r="A28" s="15" t="s">
        <v>156</v>
      </c>
      <c r="B28" s="18" t="n">
        <v>8</v>
      </c>
      <c r="C28" s="3"/>
      <c r="D28" s="3"/>
      <c r="E28" s="3" t="s">
        <v>151</v>
      </c>
      <c r="F28" s="3" t="s">
        <v>152</v>
      </c>
      <c r="G28" s="4" t="s">
        <v>153</v>
      </c>
    </row>
    <row r="29" customFormat="false" ht="15" hidden="false" customHeight="false" outlineLevel="0" collapsed="false">
      <c r="A29" s="15" t="s">
        <v>157</v>
      </c>
      <c r="B29" s="18" t="n">
        <v>16</v>
      </c>
      <c r="C29" s="3"/>
      <c r="D29" s="3"/>
      <c r="E29" s="3" t="s">
        <v>151</v>
      </c>
      <c r="F29" s="3" t="s">
        <v>152</v>
      </c>
      <c r="G29" s="4" t="s">
        <v>153</v>
      </c>
    </row>
  </sheetData>
  <mergeCells count="15"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24:D24"/>
    <mergeCell ref="C25:D25"/>
    <mergeCell ref="C26:D26"/>
    <mergeCell ref="C27:D27"/>
    <mergeCell ref="C28:D28"/>
    <mergeCell ref="C29:D29"/>
  </mergeCells>
  <dataValidations count="4">
    <dataValidation type="decimal" operator="greaterThan" allowBlank="false" showErrorMessage="true" errorStyle="stop" errorTitle="Invalid input" error="Enter a number greater than 0." sqref="B6:B9 B18:B21">
      <formula1>0</formula1>
    </dataValidation>
    <dataValidation type="decimal" operator="greaterThanOrEqual" allowBlank="false" showErrorMessage="true" errorStyle="stop" errorTitle="Invalid input" error="Enter a number of 0 or more." sqref="B10 B12:B13 C18:C21">
      <formula1>0</formula1>
    </dataValidation>
    <dataValidation type="decimal" operator="between" allowBlank="false" showErrorMessage="true" errorStyle="stop" errorTitle="Invalid input" error="Enter a fraction from 0 to 1 (0% to 100%)." sqref="B11">
      <formula1>0</formula1>
      <formula2>1</formula2>
    </dataValidation>
    <dataValidation type="list" allowBlank="false" showErrorMessage="true" errorStyle="stop" errorTitle="Invalid input" error="Enter Y or N." showDropDown="false" sqref="D18:D21">
      <formula1>"Y,N"</formula1>
    </dataValidation>
  </dataValidations>
  <hyperlinks>
    <hyperlink ref="G6" r:id="rId1" location="pricing-inputs" display="Doc §4 Pricing inputs"/>
    <hyperlink ref="G7" r:id="rId2" location="pricing-inputs" display="Doc §4 Pricing inputs"/>
    <hyperlink ref="G8" r:id="rId3" location="res-model" display="Doc §7.2 Model"/>
    <hyperlink ref="G9" r:id="rId4" location="od-parameters" display="Doc §6.3 Parameters"/>
    <hyperlink ref="G10" r:id="rId5" location="pricing-inputs" display="Doc §4 Pricing inputs"/>
    <hyperlink ref="G11" r:id="rId6" location="offsets" display="Doc §5.2 Offsets"/>
    <hyperlink ref="G12" r:id="rId7" location="offsets" display="Doc §5.2 Offsets"/>
    <hyperlink ref="G13" r:id="rId8" location="offsets" display="Doc §5.2 Offsets"/>
    <hyperlink ref="G18" r:id="rId9" location="baseline" display="Doc §5.1 Baseline"/>
    <hyperlink ref="G19" r:id="rId10" location="baseline" display="Doc §5.1 Baseline"/>
    <hyperlink ref="G20" r:id="rId11" location="baseline" display="Doc §5.1 Baseline"/>
    <hyperlink ref="G21" r:id="rId12" location="baseline" display="Doc §5.1 Baseline"/>
    <hyperlink ref="G25" r:id="rId13" location="od-method" display="Doc §6.1 Break-even"/>
    <hyperlink ref="G26" r:id="rId14" location="od-method" display="Doc §6.1 Break-even"/>
    <hyperlink ref="G27" r:id="rId15" location="od-method" display="Doc §6.1 Break-even"/>
    <hyperlink ref="G28" r:id="rId16" location="od-method" display="Doc §6.1 Break-even"/>
    <hyperlink ref="G29" r:id="rId17" location="od-method" display="Doc §6.1 Break-eve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5" min="2" style="0" width="16"/>
    <col collapsed="false" customWidth="true" hidden="false" outlineLevel="0" max="6" min="6" style="0" width="58"/>
    <col collapsed="false" customWidth="true" hidden="false" outlineLevel="0" max="7" min="7" style="0" width="52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" t="s">
        <v>158</v>
      </c>
    </row>
    <row r="2" customFormat="false" ht="15" hidden="false" customHeight="false" outlineLevel="0" collapsed="false">
      <c r="A2" s="13" t="s">
        <v>159</v>
      </c>
    </row>
    <row r="4" customFormat="false" ht="15" hidden="false" customHeight="false" outlineLevel="0" collapsed="false">
      <c r="A4" s="5" t="s">
        <v>160</v>
      </c>
    </row>
    <row r="5" customFormat="false" ht="15" hidden="false" customHeight="true" outlineLevel="0" collapsed="false">
      <c r="A5" s="14" t="s">
        <v>88</v>
      </c>
      <c r="B5" s="14" t="s">
        <v>89</v>
      </c>
      <c r="C5" s="14" t="s">
        <v>90</v>
      </c>
      <c r="D5" s="14"/>
      <c r="E5" s="14"/>
      <c r="F5" s="14" t="s">
        <v>91</v>
      </c>
      <c r="G5" s="14" t="s">
        <v>92</v>
      </c>
      <c r="H5" s="14" t="s">
        <v>93</v>
      </c>
    </row>
    <row r="6" customFormat="false" ht="15" hidden="false" customHeight="true" outlineLevel="0" collapsed="false">
      <c r="A6" s="15" t="s">
        <v>161</v>
      </c>
      <c r="B6" s="20" t="n">
        <v>5</v>
      </c>
      <c r="C6" s="3" t="s">
        <v>112</v>
      </c>
      <c r="D6" s="3"/>
      <c r="E6" s="3"/>
      <c r="F6" s="3" t="s">
        <v>162</v>
      </c>
      <c r="G6" s="3" t="s">
        <v>163</v>
      </c>
      <c r="H6" s="4" t="s">
        <v>98</v>
      </c>
    </row>
    <row r="7" customFormat="false" ht="15" hidden="false" customHeight="true" outlineLevel="0" collapsed="false">
      <c r="A7" s="15" t="s">
        <v>164</v>
      </c>
      <c r="B7" s="18" t="n">
        <v>10</v>
      </c>
      <c r="C7" s="3" t="s">
        <v>165</v>
      </c>
      <c r="D7" s="3"/>
      <c r="E7" s="3"/>
      <c r="F7" s="3" t="s">
        <v>166</v>
      </c>
      <c r="G7" s="3" t="s">
        <v>163</v>
      </c>
      <c r="H7" s="4" t="s">
        <v>64</v>
      </c>
    </row>
    <row r="8" customFormat="false" ht="27" hidden="false" customHeight="true" outlineLevel="0" collapsed="false">
      <c r="A8" s="15" t="s">
        <v>167</v>
      </c>
      <c r="B8" s="22" t="n">
        <v>20000</v>
      </c>
      <c r="C8" s="3" t="s">
        <v>121</v>
      </c>
      <c r="D8" s="3"/>
      <c r="E8" s="3"/>
      <c r="F8" s="3" t="s">
        <v>168</v>
      </c>
      <c r="G8" s="3" t="s">
        <v>169</v>
      </c>
      <c r="H8" s="4" t="s">
        <v>64</v>
      </c>
    </row>
    <row r="9" customFormat="false" ht="27" hidden="false" customHeight="true" outlineLevel="0" collapsed="false">
      <c r="A9" s="15" t="s">
        <v>170</v>
      </c>
      <c r="B9" s="18" t="n">
        <v>1000000</v>
      </c>
      <c r="C9" s="3" t="s">
        <v>171</v>
      </c>
      <c r="D9" s="3"/>
      <c r="E9" s="3"/>
      <c r="F9" s="3" t="s">
        <v>172</v>
      </c>
      <c r="G9" s="3" t="s">
        <v>173</v>
      </c>
      <c r="H9" s="4" t="s">
        <v>64</v>
      </c>
    </row>
    <row r="11" customFormat="false" ht="15" hidden="false" customHeight="false" outlineLevel="0" collapsed="false">
      <c r="A11" s="5" t="s">
        <v>174</v>
      </c>
    </row>
    <row r="12" customFormat="false" ht="15" hidden="false" customHeight="false" outlineLevel="0" collapsed="false">
      <c r="A12" s="14" t="s">
        <v>88</v>
      </c>
      <c r="B12" s="14" t="s">
        <v>175</v>
      </c>
      <c r="C12" s="14" t="s">
        <v>176</v>
      </c>
      <c r="D12" s="14" t="s">
        <v>177</v>
      </c>
      <c r="E12" s="14" t="s">
        <v>90</v>
      </c>
      <c r="F12" s="14" t="s">
        <v>91</v>
      </c>
      <c r="G12" s="14" t="s">
        <v>92</v>
      </c>
      <c r="H12" s="14" t="s">
        <v>93</v>
      </c>
    </row>
    <row r="13" customFormat="false" ht="35.05" hidden="false" customHeight="false" outlineLevel="0" collapsed="false">
      <c r="A13" s="15" t="s">
        <v>178</v>
      </c>
      <c r="B13" s="16" t="n">
        <v>9.5</v>
      </c>
      <c r="C13" s="16" t="n">
        <v>12</v>
      </c>
      <c r="D13" s="16" t="n">
        <v>15</v>
      </c>
      <c r="E13" s="3" t="s">
        <v>112</v>
      </c>
      <c r="F13" s="3" t="s">
        <v>179</v>
      </c>
      <c r="G13" s="3" t="s">
        <v>180</v>
      </c>
      <c r="H13" s="4" t="s">
        <v>181</v>
      </c>
    </row>
  </sheetData>
  <mergeCells count="5">
    <mergeCell ref="C5:E5"/>
    <mergeCell ref="C6:E6"/>
    <mergeCell ref="C7:E7"/>
    <mergeCell ref="C8:E8"/>
    <mergeCell ref="C9:E9"/>
  </mergeCells>
  <dataValidations count="2">
    <dataValidation type="decimal" operator="greaterThan" allowBlank="false" showErrorMessage="true" errorStyle="stop" errorTitle="Invalid input" error="Enter a number greater than 0." sqref="B6:B7 B13:D13">
      <formula1>0</formula1>
    </dataValidation>
    <dataValidation type="decimal" operator="greaterThanOrEqual" allowBlank="false" showErrorMessage="true" errorStyle="stop" errorTitle="Invalid input" error="Enter a number of 0 or more." sqref="B8:B9">
      <formula1>0</formula1>
    </dataValidation>
  </dataValidations>
  <hyperlinks>
    <hyperlink ref="H6" r:id="rId1" location="pricing-inputs" display="Doc §4 Pricing inputs"/>
    <hyperlink ref="H7" r:id="rId2" location="od-parameters" display="Doc §6.3 Parameters"/>
    <hyperlink ref="H8" r:id="rId3" location="od-parameters" display="Doc §6.3 Parameters"/>
    <hyperlink ref="H9" r:id="rId4" location="od-parameters" display="Doc §6.3 Parameters"/>
    <hyperlink ref="H13" r:id="rId5" location="cal-snowflake" display="Doc §9.1 Calibratio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5" min="2" style="0" width="16"/>
    <col collapsed="false" customWidth="true" hidden="false" outlineLevel="0" max="6" min="6" style="0" width="58"/>
    <col collapsed="false" customWidth="true" hidden="false" outlineLevel="0" max="7" min="7" style="0" width="52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" t="s">
        <v>182</v>
      </c>
    </row>
    <row r="2" customFormat="false" ht="15" hidden="false" customHeight="false" outlineLevel="0" collapsed="false">
      <c r="A2" s="13" t="s">
        <v>183</v>
      </c>
    </row>
    <row r="4" customFormat="false" ht="15" hidden="false" customHeight="false" outlineLevel="0" collapsed="false">
      <c r="A4" s="5" t="s">
        <v>184</v>
      </c>
    </row>
    <row r="5" customFormat="false" ht="15" hidden="false" customHeight="true" outlineLevel="0" collapsed="false">
      <c r="A5" s="14" t="s">
        <v>88</v>
      </c>
      <c r="B5" s="14" t="s">
        <v>89</v>
      </c>
      <c r="C5" s="14" t="s">
        <v>90</v>
      </c>
      <c r="D5" s="14"/>
      <c r="E5" s="14"/>
      <c r="F5" s="14" t="s">
        <v>91</v>
      </c>
      <c r="G5" s="14" t="s">
        <v>92</v>
      </c>
      <c r="H5" s="14" t="s">
        <v>93</v>
      </c>
    </row>
    <row r="6" customFormat="false" ht="27" hidden="false" customHeight="true" outlineLevel="0" collapsed="false">
      <c r="A6" s="15" t="s">
        <v>185</v>
      </c>
      <c r="B6" s="20" t="n">
        <v>0.3</v>
      </c>
      <c r="C6" s="3" t="s">
        <v>186</v>
      </c>
      <c r="D6" s="3"/>
      <c r="E6" s="3"/>
      <c r="F6" s="3" t="s">
        <v>187</v>
      </c>
      <c r="G6" s="3" t="s">
        <v>163</v>
      </c>
      <c r="H6" s="4" t="s">
        <v>98</v>
      </c>
    </row>
    <row r="7" customFormat="false" ht="27" hidden="false" customHeight="true" outlineLevel="0" collapsed="false">
      <c r="A7" s="15" t="s">
        <v>188</v>
      </c>
      <c r="B7" s="18" t="n">
        <v>4</v>
      </c>
      <c r="C7" s="3" t="s">
        <v>189</v>
      </c>
      <c r="D7" s="3"/>
      <c r="E7" s="3"/>
      <c r="F7" s="3" t="s">
        <v>190</v>
      </c>
      <c r="G7" s="3" t="s">
        <v>191</v>
      </c>
      <c r="H7" s="4" t="s">
        <v>192</v>
      </c>
    </row>
    <row r="8" customFormat="false" ht="27" hidden="false" customHeight="true" outlineLevel="0" collapsed="false">
      <c r="A8" s="15" t="s">
        <v>193</v>
      </c>
      <c r="B8" s="18" t="n">
        <v>1000</v>
      </c>
      <c r="C8" s="3" t="s">
        <v>189</v>
      </c>
      <c r="D8" s="3"/>
      <c r="E8" s="3"/>
      <c r="F8" s="3" t="s">
        <v>194</v>
      </c>
      <c r="G8" s="3" t="s">
        <v>195</v>
      </c>
      <c r="H8" s="4" t="s">
        <v>192</v>
      </c>
    </row>
    <row r="9" customFormat="false" ht="27" hidden="false" customHeight="true" outlineLevel="0" collapsed="false">
      <c r="A9" s="15" t="s">
        <v>196</v>
      </c>
      <c r="B9" s="20" t="n">
        <v>12</v>
      </c>
      <c r="C9" s="3" t="s">
        <v>112</v>
      </c>
      <c r="D9" s="3"/>
      <c r="E9" s="3"/>
      <c r="F9" s="3" t="s">
        <v>197</v>
      </c>
      <c r="G9" s="3" t="s">
        <v>118</v>
      </c>
      <c r="H9" s="4" t="s">
        <v>76</v>
      </c>
    </row>
    <row r="11" customFormat="false" ht="15" hidden="false" customHeight="false" outlineLevel="0" collapsed="false">
      <c r="A11" s="5" t="s">
        <v>174</v>
      </c>
    </row>
    <row r="12" customFormat="false" ht="15" hidden="false" customHeight="false" outlineLevel="0" collapsed="false">
      <c r="A12" s="14" t="s">
        <v>88</v>
      </c>
      <c r="B12" s="14" t="s">
        <v>175</v>
      </c>
      <c r="C12" s="14" t="s">
        <v>176</v>
      </c>
      <c r="D12" s="14" t="s">
        <v>177</v>
      </c>
      <c r="E12" s="14" t="s">
        <v>90</v>
      </c>
      <c r="F12" s="14" t="s">
        <v>91</v>
      </c>
      <c r="G12" s="14" t="s">
        <v>92</v>
      </c>
      <c r="H12" s="14" t="s">
        <v>93</v>
      </c>
    </row>
    <row r="13" customFormat="false" ht="23.85" hidden="false" customHeight="false" outlineLevel="0" collapsed="false">
      <c r="A13" s="15" t="s">
        <v>198</v>
      </c>
      <c r="B13" s="24" t="n">
        <v>0.7</v>
      </c>
      <c r="C13" s="24" t="n">
        <v>0.6</v>
      </c>
      <c r="D13" s="24" t="n">
        <v>0.5</v>
      </c>
      <c r="E13" s="3" t="s">
        <v>199</v>
      </c>
      <c r="F13" s="3" t="s">
        <v>200</v>
      </c>
      <c r="G13" s="3" t="s">
        <v>201</v>
      </c>
      <c r="H13" s="4" t="s">
        <v>68</v>
      </c>
    </row>
    <row r="14" customFormat="false" ht="23.85" hidden="false" customHeight="false" outlineLevel="0" collapsed="false">
      <c r="A14" s="15" t="s">
        <v>202</v>
      </c>
      <c r="B14" s="25" t="n">
        <v>8</v>
      </c>
      <c r="C14" s="25" t="n">
        <v>5</v>
      </c>
      <c r="D14" s="25" t="n">
        <v>3</v>
      </c>
      <c r="E14" s="3" t="s">
        <v>203</v>
      </c>
      <c r="F14" s="3" t="s">
        <v>204</v>
      </c>
      <c r="G14" s="3" t="s">
        <v>205</v>
      </c>
      <c r="H14" s="4" t="s">
        <v>68</v>
      </c>
    </row>
    <row r="15" customFormat="false" ht="23.85" hidden="false" customHeight="false" outlineLevel="0" collapsed="false">
      <c r="A15" s="15" t="s">
        <v>206</v>
      </c>
      <c r="B15" s="24" t="n">
        <v>0.6</v>
      </c>
      <c r="C15" s="24" t="n">
        <v>0.7</v>
      </c>
      <c r="D15" s="24" t="n">
        <v>0.8</v>
      </c>
      <c r="E15" s="3" t="s">
        <v>199</v>
      </c>
      <c r="F15" s="3" t="s">
        <v>207</v>
      </c>
      <c r="G15" s="3" t="s">
        <v>208</v>
      </c>
      <c r="H15" s="4" t="s">
        <v>68</v>
      </c>
    </row>
  </sheetData>
  <mergeCells count="5">
    <mergeCell ref="C5:E5"/>
    <mergeCell ref="C6:E6"/>
    <mergeCell ref="C7:E7"/>
    <mergeCell ref="C8:E8"/>
    <mergeCell ref="C9:E9"/>
  </mergeCells>
  <dataValidations count="3">
    <dataValidation type="decimal" operator="greaterThan" allowBlank="false" showErrorMessage="true" errorStyle="stop" errorTitle="Invalid input" error="Enter a number greater than 0." sqref="B6:B9 B14:D14">
      <formula1>0</formula1>
    </dataValidation>
    <dataValidation type="custom" allowBlank="false" showErrorMessage="true" errorStyle="stop" errorTitle="Invalid input" error="Enter a fraction above 0 and at most 1 (up to 100%)." sqref="B13:D13">
      <formula1>AND(ISNUMBER(B13),B13&gt;0,B13&lt;=1)</formula1>
    </dataValidation>
    <dataValidation type="custom" allowBlank="false" showErrorMessage="true" errorStyle="stop" errorTitle="Invalid input" error="Enter a fraction above 0 and at most 1 (up to 100%)." sqref="B15:D15">
      <formula1>AND(ISNUMBER(B15),B15&gt;0,B15&lt;=1)</formula1>
    </dataValidation>
  </dataValidations>
  <hyperlinks>
    <hyperlink ref="H6" r:id="rId1" location="pricing-inputs" display="Doc §4 Pricing inputs"/>
    <hyperlink ref="H7" r:id="rId2" location="res-constraints" display="Doc §7.5 Constraints"/>
    <hyperlink ref="H8" r:id="rId3" location="res-constraints" display="Doc §7.5 Constraints"/>
    <hyperlink ref="H9" r:id="rId4" location="res-model" display="Doc §7.2 Model"/>
    <hyperlink ref="H13" r:id="rId5" location="res-parameters" display="Doc §7.3 Parameters"/>
    <hyperlink ref="H14" r:id="rId6" location="res-parameters" display="Doc §7.3 Parameters"/>
    <hyperlink ref="H15" r:id="rId7" location="res-parameters" display="Doc §7.3 Parameter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8"/>
    <col collapsed="false" customWidth="true" hidden="false" outlineLevel="0" max="8" min="8" style="0" width="60"/>
  </cols>
  <sheetData>
    <row r="1" customFormat="false" ht="17.35" hidden="false" customHeight="false" outlineLevel="0" collapsed="false">
      <c r="A1" s="1" t="s">
        <v>209</v>
      </c>
    </row>
    <row r="2" customFormat="false" ht="15" hidden="false" customHeight="false" outlineLevel="0" collapsed="false">
      <c r="A2" s="13" t="s">
        <v>210</v>
      </c>
    </row>
    <row r="4" customFormat="false" ht="15" hidden="false" customHeight="false" outlineLevel="0" collapsed="false">
      <c r="A4" s="5" t="s">
        <v>211</v>
      </c>
    </row>
    <row r="5" customFormat="false" ht="15" hidden="false" customHeight="true" outlineLevel="0" collapsed="false">
      <c r="A5" s="14" t="s">
        <v>212</v>
      </c>
      <c r="B5" s="14" t="s">
        <v>89</v>
      </c>
      <c r="C5" s="14" t="s">
        <v>90</v>
      </c>
      <c r="D5" s="14"/>
      <c r="E5" s="14"/>
      <c r="F5" s="14"/>
      <c r="G5" s="14"/>
      <c r="H5" s="14" t="s">
        <v>213</v>
      </c>
    </row>
    <row r="6" customFormat="false" ht="15" hidden="false" customHeight="true" outlineLevel="0" collapsed="false">
      <c r="A6" s="15" t="s">
        <v>214</v>
      </c>
      <c r="B6" s="26" t="n">
        <f aca="false">Athena_OD_Price+S3_Overhead_per_TB</f>
        <v>5.5</v>
      </c>
      <c r="C6" s="3" t="s">
        <v>215</v>
      </c>
      <c r="D6" s="3"/>
      <c r="E6" s="3"/>
      <c r="F6" s="3"/>
      <c r="G6" s="3"/>
      <c r="H6" s="3" t="s">
        <v>216</v>
      </c>
    </row>
    <row r="7" customFormat="false" ht="27" hidden="false" customHeight="true" outlineLevel="0" collapsed="false">
      <c r="A7" s="15" t="s">
        <v>217</v>
      </c>
      <c r="B7" s="26" t="n">
        <f aca="false">K_Ratio*B6</f>
        <v>6.05</v>
      </c>
      <c r="C7" s="3" t="s">
        <v>215</v>
      </c>
      <c r="D7" s="3"/>
      <c r="E7" s="3"/>
      <c r="F7" s="3"/>
      <c r="G7" s="3"/>
      <c r="H7" s="3" t="s">
        <v>218</v>
      </c>
    </row>
    <row r="8" customFormat="false" ht="15" hidden="false" customHeight="true" outlineLevel="0" collapsed="false">
      <c r="A8" s="15" t="s">
        <v>219</v>
      </c>
      <c r="B8" s="27" t="n">
        <f aca="false">Illus_Queries_Day*Athena_Min_MB/1000000</f>
        <v>10</v>
      </c>
      <c r="C8" s="3" t="s">
        <v>220</v>
      </c>
      <c r="D8" s="3"/>
      <c r="E8" s="3"/>
      <c r="F8" s="3"/>
      <c r="G8" s="3"/>
      <c r="H8" s="3" t="s">
        <v>221</v>
      </c>
    </row>
    <row r="9" customFormat="false" ht="27" hidden="false" customHeight="true" outlineLevel="0" collapsed="false">
      <c r="A9" s="15" t="s">
        <v>222</v>
      </c>
      <c r="B9" s="28" t="n">
        <f aca="false">B8*Athena_OD_Price*365</f>
        <v>18250</v>
      </c>
      <c r="C9" s="3" t="s">
        <v>121</v>
      </c>
      <c r="D9" s="3"/>
      <c r="E9" s="3"/>
      <c r="F9" s="3"/>
      <c r="G9" s="3"/>
      <c r="H9" s="3" t="s">
        <v>223</v>
      </c>
    </row>
    <row r="10" customFormat="false" ht="15" hidden="false" customHeight="false" outlineLevel="0" collapsed="false">
      <c r="A10" s="15" t="s">
        <v>224</v>
      </c>
      <c r="B10" s="9" t="str">
        <f aca="false">IF(Small_Query_Allowance&gt;=B9,"Yes","No — raise allowance")</f>
        <v>Yes</v>
      </c>
      <c r="C10" s="3"/>
      <c r="D10" s="3"/>
      <c r="E10" s="3"/>
      <c r="F10" s="3"/>
      <c r="G10" s="3"/>
      <c r="H10" s="3" t="s">
        <v>225</v>
      </c>
    </row>
    <row r="12" customFormat="false" ht="15" hidden="false" customHeight="false" outlineLevel="0" collapsed="false">
      <c r="A12" s="5" t="s">
        <v>226</v>
      </c>
    </row>
    <row r="13" customFormat="false" ht="15" hidden="false" customHeight="false" outlineLevel="0" collapsed="false">
      <c r="A13" s="14" t="s">
        <v>227</v>
      </c>
      <c r="B13" s="14" t="s">
        <v>175</v>
      </c>
      <c r="C13" s="14" t="s">
        <v>176</v>
      </c>
      <c r="D13" s="14" t="s">
        <v>177</v>
      </c>
      <c r="E13" s="14"/>
      <c r="F13" s="14"/>
      <c r="G13" s="14"/>
      <c r="H13" s="14" t="s">
        <v>213</v>
      </c>
    </row>
    <row r="14" customFormat="false" ht="15" hidden="false" customHeight="false" outlineLevel="0" collapsed="false">
      <c r="A14" s="15" t="s">
        <v>228</v>
      </c>
      <c r="B14" s="29" t="n">
        <f aca="false">'Inputs - On-Demand'!B13</f>
        <v>9.5</v>
      </c>
      <c r="C14" s="29" t="n">
        <f aca="false">'Inputs - On-Demand'!C13</f>
        <v>12</v>
      </c>
      <c r="D14" s="29" t="n">
        <f aca="false">'Inputs - On-Demand'!D13</f>
        <v>15</v>
      </c>
      <c r="E14" s="3"/>
      <c r="F14" s="3"/>
      <c r="G14" s="3"/>
      <c r="H14" s="3" t="s">
        <v>229</v>
      </c>
    </row>
    <row r="15" customFormat="false" ht="15" hidden="false" customHeight="false" outlineLevel="0" collapsed="false">
      <c r="A15" s="15" t="s">
        <v>230</v>
      </c>
      <c r="B15" s="30" t="n">
        <f aca="false">IF(B14&gt;0,1-K_Ratio*$B$6/B14,0)</f>
        <v>0.363157894736842</v>
      </c>
      <c r="C15" s="30" t="n">
        <f aca="false">IF(C14&gt;0,1-K_Ratio*$B$6/C14,0)</f>
        <v>0.495833333333333</v>
      </c>
      <c r="D15" s="30" t="n">
        <f aca="false">IF(D14&gt;0,1-K_Ratio*$B$6/D14,0)</f>
        <v>0.596666666666667</v>
      </c>
      <c r="E15" s="3"/>
      <c r="F15" s="3"/>
      <c r="G15" s="3"/>
      <c r="H15" s="3" t="s">
        <v>231</v>
      </c>
    </row>
    <row r="17" customFormat="false" ht="15" hidden="false" customHeight="false" outlineLevel="0" collapsed="false">
      <c r="A17" s="5" t="s">
        <v>232</v>
      </c>
    </row>
    <row r="18" customFormat="false" ht="15" hidden="false" customHeight="false" outlineLevel="0" collapsed="false">
      <c r="A18" s="13" t="s">
        <v>233</v>
      </c>
    </row>
    <row r="19" customFormat="false" ht="23.85" hidden="false" customHeight="false" outlineLevel="0" collapsed="false">
      <c r="A19" s="14" t="s">
        <v>148</v>
      </c>
      <c r="B19" s="14" t="s">
        <v>234</v>
      </c>
      <c r="C19" s="14" t="s">
        <v>235</v>
      </c>
      <c r="D19" s="14" t="s">
        <v>236</v>
      </c>
      <c r="E19" s="14" t="s">
        <v>237</v>
      </c>
      <c r="F19" s="14" t="s">
        <v>238</v>
      </c>
      <c r="G19" s="14" t="s">
        <v>239</v>
      </c>
      <c r="H19" s="14" t="s">
        <v>213</v>
      </c>
    </row>
    <row r="20" customFormat="false" ht="23.85" hidden="false" customHeight="false" outlineLevel="0" collapsed="false">
      <c r="A20" s="31" t="str">
        <f aca="false">'Inputs - Common'!A25</f>
        <v>XS</v>
      </c>
      <c r="B20" s="32" t="n">
        <f aca="false">'Inputs - Common'!B25</f>
        <v>1</v>
      </c>
      <c r="C20" s="26" t="n">
        <f aca="false">B20*SF_Price</f>
        <v>3.5</v>
      </c>
      <c r="D20" s="27" t="n">
        <f aca="false">IF(Athena_OD_Price&gt;0,C20/Athena_OD_Price,0)</f>
        <v>0.7</v>
      </c>
      <c r="E20" s="27" t="n">
        <f aca="false">IF($B$6&gt;0,C20/$B$6,0)</f>
        <v>0.636363636363636</v>
      </c>
      <c r="F20" s="26" t="n">
        <f aca="false">C20*SF_Gen2_Mult</f>
        <v>4.725</v>
      </c>
      <c r="G20" s="27" t="n">
        <f aca="false">IF($B$6&gt;0,F20/$B$6,0)</f>
        <v>0.859090909090909</v>
      </c>
      <c r="H20" s="3" t="s">
        <v>240</v>
      </c>
    </row>
    <row r="21" customFormat="false" ht="23.85" hidden="false" customHeight="false" outlineLevel="0" collapsed="false">
      <c r="A21" s="31" t="str">
        <f aca="false">'Inputs - Common'!A26</f>
        <v>S</v>
      </c>
      <c r="B21" s="32" t="n">
        <f aca="false">'Inputs - Common'!B26</f>
        <v>2</v>
      </c>
      <c r="C21" s="26" t="n">
        <f aca="false">B21*SF_Price</f>
        <v>7</v>
      </c>
      <c r="D21" s="27" t="n">
        <f aca="false">IF(Athena_OD_Price&gt;0,C21/Athena_OD_Price,0)</f>
        <v>1.4</v>
      </c>
      <c r="E21" s="27" t="n">
        <f aca="false">IF($B$6&gt;0,C21/$B$6,0)</f>
        <v>1.27272727272727</v>
      </c>
      <c r="F21" s="26" t="n">
        <f aca="false">C21*SF_Gen2_Mult</f>
        <v>9.45</v>
      </c>
      <c r="G21" s="27" t="n">
        <f aca="false">IF($B$6&gt;0,F21/$B$6,0)</f>
        <v>1.71818181818182</v>
      </c>
      <c r="H21" s="3" t="s">
        <v>240</v>
      </c>
    </row>
    <row r="22" customFormat="false" ht="23.85" hidden="false" customHeight="false" outlineLevel="0" collapsed="false">
      <c r="A22" s="31" t="str">
        <f aca="false">'Inputs - Common'!A27</f>
        <v>M</v>
      </c>
      <c r="B22" s="32" t="n">
        <f aca="false">'Inputs - Common'!B27</f>
        <v>4</v>
      </c>
      <c r="C22" s="26" t="n">
        <f aca="false">B22*SF_Price</f>
        <v>14</v>
      </c>
      <c r="D22" s="27" t="n">
        <f aca="false">IF(Athena_OD_Price&gt;0,C22/Athena_OD_Price,0)</f>
        <v>2.8</v>
      </c>
      <c r="E22" s="27" t="n">
        <f aca="false">IF($B$6&gt;0,C22/$B$6,0)</f>
        <v>2.54545454545455</v>
      </c>
      <c r="F22" s="26" t="n">
        <f aca="false">C22*SF_Gen2_Mult</f>
        <v>18.9</v>
      </c>
      <c r="G22" s="27" t="n">
        <f aca="false">IF($B$6&gt;0,F22/$B$6,0)</f>
        <v>3.43636363636364</v>
      </c>
      <c r="H22" s="3" t="s">
        <v>240</v>
      </c>
    </row>
    <row r="23" customFormat="false" ht="23.85" hidden="false" customHeight="false" outlineLevel="0" collapsed="false">
      <c r="A23" s="31" t="str">
        <f aca="false">'Inputs - Common'!A28</f>
        <v>L</v>
      </c>
      <c r="B23" s="32" t="n">
        <f aca="false">'Inputs - Common'!B28</f>
        <v>8</v>
      </c>
      <c r="C23" s="26" t="n">
        <f aca="false">B23*SF_Price</f>
        <v>28</v>
      </c>
      <c r="D23" s="27" t="n">
        <f aca="false">IF(Athena_OD_Price&gt;0,C23/Athena_OD_Price,0)</f>
        <v>5.6</v>
      </c>
      <c r="E23" s="27" t="n">
        <f aca="false">IF($B$6&gt;0,C23/$B$6,0)</f>
        <v>5.09090909090909</v>
      </c>
      <c r="F23" s="26" t="n">
        <f aca="false">C23*SF_Gen2_Mult</f>
        <v>37.8</v>
      </c>
      <c r="G23" s="27" t="n">
        <f aca="false">IF($B$6&gt;0,F23/$B$6,0)</f>
        <v>6.87272727272727</v>
      </c>
      <c r="H23" s="3" t="s">
        <v>240</v>
      </c>
    </row>
    <row r="24" customFormat="false" ht="23.85" hidden="false" customHeight="false" outlineLevel="0" collapsed="false">
      <c r="A24" s="31" t="str">
        <f aca="false">'Inputs - Common'!A29</f>
        <v>XL</v>
      </c>
      <c r="B24" s="32" t="n">
        <f aca="false">'Inputs - Common'!B29</f>
        <v>16</v>
      </c>
      <c r="C24" s="26" t="n">
        <f aca="false">B24*SF_Price</f>
        <v>56</v>
      </c>
      <c r="D24" s="27" t="n">
        <f aca="false">IF(Athena_OD_Price&gt;0,C24/Athena_OD_Price,0)</f>
        <v>11.2</v>
      </c>
      <c r="E24" s="27" t="n">
        <f aca="false">IF($B$6&gt;0,C24/$B$6,0)</f>
        <v>10.1818181818182</v>
      </c>
      <c r="F24" s="26" t="n">
        <f aca="false">C24*SF_Gen2_Mult</f>
        <v>75.6</v>
      </c>
      <c r="G24" s="27" t="n">
        <f aca="false">IF($B$6&gt;0,F24/$B$6,0)</f>
        <v>13.7454545454545</v>
      </c>
      <c r="H24" s="3" t="s">
        <v>240</v>
      </c>
    </row>
    <row r="27" customFormat="false" ht="15" hidden="false" customHeight="false" outlineLevel="0" collapsed="false">
      <c r="A27" s="5" t="s">
        <v>241</v>
      </c>
    </row>
    <row r="28" customFormat="false" ht="15" hidden="false" customHeight="false" outlineLevel="0" collapsed="false">
      <c r="A28" s="14" t="s">
        <v>242</v>
      </c>
      <c r="B28" s="14" t="s">
        <v>132</v>
      </c>
      <c r="C28" s="14" t="s">
        <v>137</v>
      </c>
      <c r="D28" s="14" t="s">
        <v>141</v>
      </c>
      <c r="E28" s="14" t="s">
        <v>144</v>
      </c>
      <c r="F28" s="14"/>
      <c r="G28" s="14"/>
      <c r="H28" s="14" t="s">
        <v>213</v>
      </c>
    </row>
    <row r="29" customFormat="false" ht="15" hidden="false" customHeight="false" outlineLevel="0" collapsed="false">
      <c r="A29" s="3" t="s">
        <v>243</v>
      </c>
      <c r="B29" s="33" t="n">
        <f aca="false">'Inputs - Common'!B18</f>
        <v>400000</v>
      </c>
      <c r="C29" s="33" t="n">
        <f aca="false">'Inputs - Common'!B19</f>
        <v>1000000</v>
      </c>
      <c r="D29" s="33" t="n">
        <f aca="false">'Inputs - Common'!B20</f>
        <v>1500000</v>
      </c>
      <c r="E29" s="33" t="n">
        <f aca="false">'Inputs - Common'!B21</f>
        <v>4000000</v>
      </c>
      <c r="F29" s="3"/>
      <c r="G29" s="3"/>
      <c r="H29" s="3" t="s">
        <v>244</v>
      </c>
    </row>
    <row r="30" customFormat="false" ht="15" hidden="false" customHeight="false" outlineLevel="0" collapsed="false">
      <c r="A30" s="3" t="s">
        <v>245</v>
      </c>
      <c r="B30" s="10" t="str">
        <f aca="false">'Inputs - Common'!D18</f>
        <v>N</v>
      </c>
      <c r="C30" s="10" t="str">
        <f aca="false">'Inputs - Common'!D19</f>
        <v>Y</v>
      </c>
      <c r="D30" s="10" t="str">
        <f aca="false">'Inputs - Common'!D20</f>
        <v>Y</v>
      </c>
      <c r="E30" s="10" t="str">
        <f aca="false">'Inputs - Common'!D21</f>
        <v>Y</v>
      </c>
      <c r="F30" s="3"/>
      <c r="G30" s="3"/>
      <c r="H30" s="3" t="s">
        <v>244</v>
      </c>
    </row>
    <row r="31" customFormat="false" ht="15" hidden="false" customHeight="false" outlineLevel="0" collapsed="false">
      <c r="A31" s="3" t="s">
        <v>228</v>
      </c>
      <c r="B31" s="26" t="n">
        <f aca="false">$B$14</f>
        <v>9.5</v>
      </c>
      <c r="C31" s="26" t="n">
        <f aca="false">$B$14</f>
        <v>9.5</v>
      </c>
      <c r="D31" s="26" t="n">
        <f aca="false">$B$14</f>
        <v>9.5</v>
      </c>
      <c r="E31" s="26" t="n">
        <f aca="false">$B$14</f>
        <v>9.5</v>
      </c>
      <c r="F31" s="3"/>
      <c r="G31" s="3"/>
      <c r="H31" s="3" t="s">
        <v>246</v>
      </c>
    </row>
    <row r="32" customFormat="false" ht="15" hidden="false" customHeight="false" outlineLevel="0" collapsed="false">
      <c r="A32" s="3" t="s">
        <v>247</v>
      </c>
      <c r="B32" s="34" t="n">
        <f aca="false">IF(B31&gt;0,B29/B31,0)</f>
        <v>42105.2631578947</v>
      </c>
      <c r="C32" s="34" t="n">
        <f aca="false">IF(C31&gt;0,C29/C31,0)</f>
        <v>105263.157894737</v>
      </c>
      <c r="D32" s="34" t="n">
        <f aca="false">IF(D31&gt;0,D29/D31,0)</f>
        <v>157894.736842105</v>
      </c>
      <c r="E32" s="34" t="n">
        <f aca="false">IF(E31&gt;0,E29/E31,0)</f>
        <v>421052.631578947</v>
      </c>
      <c r="F32" s="3"/>
      <c r="G32" s="3"/>
      <c r="H32" s="3" t="s">
        <v>248</v>
      </c>
    </row>
    <row r="33" customFormat="false" ht="15" hidden="false" customHeight="false" outlineLevel="0" collapsed="false">
      <c r="A33" s="3" t="s">
        <v>249</v>
      </c>
      <c r="B33" s="34" t="n">
        <f aca="false">B32*K_Ratio</f>
        <v>46315.7894736842</v>
      </c>
      <c r="C33" s="34" t="n">
        <f aca="false">C32*K_Ratio</f>
        <v>115789.473684211</v>
      </c>
      <c r="D33" s="34" t="n">
        <f aca="false">D32*K_Ratio</f>
        <v>173684.210526316</v>
      </c>
      <c r="E33" s="34" t="n">
        <f aca="false">E32*K_Ratio</f>
        <v>463157.894736842</v>
      </c>
      <c r="F33" s="3"/>
      <c r="G33" s="3"/>
      <c r="H33" s="3" t="s">
        <v>250</v>
      </c>
    </row>
    <row r="34" customFormat="false" ht="15" hidden="false" customHeight="false" outlineLevel="0" collapsed="false">
      <c r="A34" s="3" t="s">
        <v>251</v>
      </c>
      <c r="B34" s="28" t="n">
        <f aca="false">B33*$B$6</f>
        <v>254736.842105263</v>
      </c>
      <c r="C34" s="28" t="n">
        <f aca="false">C33*$B$6</f>
        <v>636842.105263158</v>
      </c>
      <c r="D34" s="28" t="n">
        <f aca="false">D33*$B$6</f>
        <v>955263.157894737</v>
      </c>
      <c r="E34" s="28" t="n">
        <f aca="false">E33*$B$6</f>
        <v>2547368.42105263</v>
      </c>
      <c r="F34" s="3"/>
      <c r="G34" s="3"/>
      <c r="H34" s="3" t="s">
        <v>252</v>
      </c>
    </row>
    <row r="35" customFormat="false" ht="15" hidden="false" customHeight="false" outlineLevel="0" collapsed="false">
      <c r="A35" s="3" t="s">
        <v>253</v>
      </c>
      <c r="B35" s="28" t="n">
        <f aca="false">B29-B34</f>
        <v>145263.157894737</v>
      </c>
      <c r="C35" s="28" t="n">
        <f aca="false">C29-C34</f>
        <v>363157.894736842</v>
      </c>
      <c r="D35" s="28" t="n">
        <f aca="false">D29-D34</f>
        <v>544736.842105263</v>
      </c>
      <c r="E35" s="28" t="n">
        <f aca="false">E29-E34</f>
        <v>1452631.57894737</v>
      </c>
      <c r="F35" s="3"/>
      <c r="G35" s="3"/>
      <c r="H35" s="3" t="s">
        <v>254</v>
      </c>
    </row>
    <row r="36" customFormat="false" ht="15" hidden="false" customHeight="false" outlineLevel="0" collapsed="false">
      <c r="A36" s="3" t="s">
        <v>255</v>
      </c>
      <c r="B36" s="28" t="n">
        <f aca="false">B34*Maint_Pct</f>
        <v>25473.6842105263</v>
      </c>
      <c r="C36" s="28" t="n">
        <f aca="false">C34*Maint_Pct</f>
        <v>63684.2105263158</v>
      </c>
      <c r="D36" s="28" t="n">
        <f aca="false">D34*Maint_Pct</f>
        <v>95526.3157894737</v>
      </c>
      <c r="E36" s="28" t="n">
        <f aca="false">E34*Maint_Pct</f>
        <v>254736.842105263</v>
      </c>
      <c r="F36" s="3"/>
      <c r="G36" s="3"/>
      <c r="H36" s="3" t="s">
        <v>256</v>
      </c>
    </row>
    <row r="37" customFormat="false" ht="15" hidden="false" customHeight="false" outlineLevel="0" collapsed="false">
      <c r="A37" s="3" t="s">
        <v>257</v>
      </c>
      <c r="B37" s="28" t="n">
        <f aca="false">Refresh_Offset</f>
        <v>20000</v>
      </c>
      <c r="C37" s="28" t="n">
        <f aca="false">Refresh_Offset</f>
        <v>20000</v>
      </c>
      <c r="D37" s="28" t="n">
        <f aca="false">Refresh_Offset</f>
        <v>20000</v>
      </c>
      <c r="E37" s="28" t="n">
        <f aca="false">Refresh_Offset</f>
        <v>20000</v>
      </c>
      <c r="F37" s="3"/>
      <c r="G37" s="3"/>
      <c r="H37" s="3" t="s">
        <v>258</v>
      </c>
    </row>
    <row r="38" customFormat="false" ht="15" hidden="false" customHeight="false" outlineLevel="0" collapsed="false">
      <c r="A38" s="3" t="s">
        <v>259</v>
      </c>
      <c r="B38" s="28" t="n">
        <f aca="false">Small_Query_Allowance</f>
        <v>20000</v>
      </c>
      <c r="C38" s="28" t="n">
        <f aca="false">Small_Query_Allowance</f>
        <v>20000</v>
      </c>
      <c r="D38" s="28" t="n">
        <f aca="false">Small_Query_Allowance</f>
        <v>20000</v>
      </c>
      <c r="E38" s="28" t="n">
        <f aca="false">Small_Query_Allowance</f>
        <v>20000</v>
      </c>
      <c r="F38" s="3"/>
      <c r="G38" s="3"/>
      <c r="H38" s="3" t="s">
        <v>260</v>
      </c>
    </row>
    <row r="39" customFormat="false" ht="15" hidden="false" customHeight="false" outlineLevel="0" collapsed="false">
      <c r="A39" s="3" t="s">
        <v>261</v>
      </c>
      <c r="B39" s="28" t="n">
        <f aca="false">'Inputs - Common'!C18*FTE_Cost</f>
        <v>150000</v>
      </c>
      <c r="C39" s="28" t="n">
        <f aca="false">'Inputs - Common'!C19*FTE_Cost</f>
        <v>200000</v>
      </c>
      <c r="D39" s="28" t="n">
        <f aca="false">'Inputs - Common'!C20*FTE_Cost</f>
        <v>250000</v>
      </c>
      <c r="E39" s="28" t="n">
        <f aca="false">'Inputs - Common'!C21*FTE_Cost</f>
        <v>400000</v>
      </c>
      <c r="F39" s="3"/>
      <c r="G39" s="3"/>
      <c r="H39" s="3" t="s">
        <v>262</v>
      </c>
    </row>
    <row r="40" customFormat="false" ht="15" hidden="false" customHeight="false" outlineLevel="0" collapsed="false">
      <c r="A40" s="15" t="s">
        <v>47</v>
      </c>
      <c r="B40" s="35" t="n">
        <f aca="false">B35-B36-B37-B38-B39</f>
        <v>-70210.5263157895</v>
      </c>
      <c r="C40" s="35" t="n">
        <f aca="false">C35-C36-C37-C38-C39</f>
        <v>59473.6842105262</v>
      </c>
      <c r="D40" s="35" t="n">
        <f aca="false">D35-D36-D37-D38-D39</f>
        <v>159210.526315789</v>
      </c>
      <c r="E40" s="35" t="n">
        <f aca="false">E35-E36-E37-E38-E39</f>
        <v>757894.736842105</v>
      </c>
      <c r="F40" s="3"/>
      <c r="G40" s="3"/>
      <c r="H40" s="3" t="s">
        <v>263</v>
      </c>
    </row>
    <row r="41" customFormat="false" ht="15" hidden="false" customHeight="false" outlineLevel="0" collapsed="false">
      <c r="A41" s="3" t="s">
        <v>264</v>
      </c>
      <c r="B41" s="30" t="n">
        <f aca="false">IF(B29&gt;0,B40/B29,0)</f>
        <v>-0.175526315789474</v>
      </c>
      <c r="C41" s="30" t="n">
        <f aca="false">IF(C29&gt;0,C40/C29,0)</f>
        <v>0.0594736842105262</v>
      </c>
      <c r="D41" s="30" t="n">
        <f aca="false">IF(D29&gt;0,D40/D29,0)</f>
        <v>0.106140350877193</v>
      </c>
      <c r="E41" s="30" t="n">
        <f aca="false">IF(E29&gt;0,E40/E29,0)</f>
        <v>0.189473684210526</v>
      </c>
      <c r="F41" s="3"/>
      <c r="G41" s="3"/>
      <c r="H41" s="3" t="s">
        <v>265</v>
      </c>
    </row>
    <row r="44" customFormat="false" ht="15" hidden="false" customHeight="false" outlineLevel="0" collapsed="false">
      <c r="A44" s="5" t="s">
        <v>266</v>
      </c>
    </row>
    <row r="45" customFormat="false" ht="15" hidden="false" customHeight="false" outlineLevel="0" collapsed="false">
      <c r="A45" s="14" t="s">
        <v>242</v>
      </c>
      <c r="B45" s="14" t="s">
        <v>132</v>
      </c>
      <c r="C45" s="14" t="s">
        <v>137</v>
      </c>
      <c r="D45" s="14" t="s">
        <v>141</v>
      </c>
      <c r="E45" s="14" t="s">
        <v>144</v>
      </c>
      <c r="F45" s="14"/>
      <c r="G45" s="14"/>
      <c r="H45" s="14" t="s">
        <v>213</v>
      </c>
    </row>
    <row r="46" customFormat="false" ht="15" hidden="false" customHeight="false" outlineLevel="0" collapsed="false">
      <c r="A46" s="3" t="s">
        <v>243</v>
      </c>
      <c r="B46" s="33" t="n">
        <f aca="false">'Inputs - Common'!B18</f>
        <v>400000</v>
      </c>
      <c r="C46" s="33" t="n">
        <f aca="false">'Inputs - Common'!B19</f>
        <v>1000000</v>
      </c>
      <c r="D46" s="33" t="n">
        <f aca="false">'Inputs - Common'!B20</f>
        <v>1500000</v>
      </c>
      <c r="E46" s="33" t="n">
        <f aca="false">'Inputs - Common'!B21</f>
        <v>4000000</v>
      </c>
      <c r="F46" s="3"/>
      <c r="G46" s="3"/>
      <c r="H46" s="3" t="s">
        <v>244</v>
      </c>
    </row>
    <row r="47" customFormat="false" ht="15" hidden="false" customHeight="false" outlineLevel="0" collapsed="false">
      <c r="A47" s="3" t="s">
        <v>245</v>
      </c>
      <c r="B47" s="10" t="str">
        <f aca="false">'Inputs - Common'!D18</f>
        <v>N</v>
      </c>
      <c r="C47" s="10" t="str">
        <f aca="false">'Inputs - Common'!D19</f>
        <v>Y</v>
      </c>
      <c r="D47" s="10" t="str">
        <f aca="false">'Inputs - Common'!D20</f>
        <v>Y</v>
      </c>
      <c r="E47" s="10" t="str">
        <f aca="false">'Inputs - Common'!D21</f>
        <v>Y</v>
      </c>
      <c r="F47" s="3"/>
      <c r="G47" s="3"/>
      <c r="H47" s="3" t="s">
        <v>244</v>
      </c>
    </row>
    <row r="48" customFormat="false" ht="15" hidden="false" customHeight="false" outlineLevel="0" collapsed="false">
      <c r="A48" s="3" t="s">
        <v>228</v>
      </c>
      <c r="B48" s="26" t="n">
        <f aca="false">$C$14</f>
        <v>12</v>
      </c>
      <c r="C48" s="26" t="n">
        <f aca="false">$C$14</f>
        <v>12</v>
      </c>
      <c r="D48" s="26" t="n">
        <f aca="false">$C$14</f>
        <v>12</v>
      </c>
      <c r="E48" s="26" t="n">
        <f aca="false">$C$14</f>
        <v>12</v>
      </c>
      <c r="F48" s="3"/>
      <c r="G48" s="3"/>
      <c r="H48" s="3" t="s">
        <v>246</v>
      </c>
    </row>
    <row r="49" customFormat="false" ht="15" hidden="false" customHeight="false" outlineLevel="0" collapsed="false">
      <c r="A49" s="3" t="s">
        <v>247</v>
      </c>
      <c r="B49" s="34" t="n">
        <f aca="false">IF(B48&gt;0,B46/B48,0)</f>
        <v>33333.3333333333</v>
      </c>
      <c r="C49" s="34" t="n">
        <f aca="false">IF(C48&gt;0,C46/C48,0)</f>
        <v>83333.3333333333</v>
      </c>
      <c r="D49" s="34" t="n">
        <f aca="false">IF(D48&gt;0,D46/D48,0)</f>
        <v>125000</v>
      </c>
      <c r="E49" s="34" t="n">
        <f aca="false">IF(E48&gt;0,E46/E48,0)</f>
        <v>333333.333333333</v>
      </c>
      <c r="F49" s="3"/>
      <c r="G49" s="3"/>
      <c r="H49" s="3" t="s">
        <v>248</v>
      </c>
    </row>
    <row r="50" customFormat="false" ht="15" hidden="false" customHeight="false" outlineLevel="0" collapsed="false">
      <c r="A50" s="3" t="s">
        <v>249</v>
      </c>
      <c r="B50" s="34" t="n">
        <f aca="false">B49*K_Ratio</f>
        <v>36666.6666666667</v>
      </c>
      <c r="C50" s="34" t="n">
        <f aca="false">C49*K_Ratio</f>
        <v>91666.6666666667</v>
      </c>
      <c r="D50" s="34" t="n">
        <f aca="false">D49*K_Ratio</f>
        <v>137500</v>
      </c>
      <c r="E50" s="34" t="n">
        <f aca="false">E49*K_Ratio</f>
        <v>366666.666666667</v>
      </c>
      <c r="F50" s="3"/>
      <c r="G50" s="3"/>
      <c r="H50" s="3" t="s">
        <v>250</v>
      </c>
    </row>
    <row r="51" customFormat="false" ht="15" hidden="false" customHeight="false" outlineLevel="0" collapsed="false">
      <c r="A51" s="3" t="s">
        <v>251</v>
      </c>
      <c r="B51" s="28" t="n">
        <f aca="false">B50*$B$6</f>
        <v>201666.666666667</v>
      </c>
      <c r="C51" s="28" t="n">
        <f aca="false">C50*$B$6</f>
        <v>504166.666666667</v>
      </c>
      <c r="D51" s="28" t="n">
        <f aca="false">D50*$B$6</f>
        <v>756250</v>
      </c>
      <c r="E51" s="28" t="n">
        <f aca="false">E50*$B$6</f>
        <v>2016666.66666667</v>
      </c>
      <c r="F51" s="3"/>
      <c r="G51" s="3"/>
      <c r="H51" s="3" t="s">
        <v>252</v>
      </c>
    </row>
    <row r="52" customFormat="false" ht="15" hidden="false" customHeight="false" outlineLevel="0" collapsed="false">
      <c r="A52" s="3" t="s">
        <v>253</v>
      </c>
      <c r="B52" s="28" t="n">
        <f aca="false">B46-B51</f>
        <v>198333.333333333</v>
      </c>
      <c r="C52" s="28" t="n">
        <f aca="false">C46-C51</f>
        <v>495833.333333333</v>
      </c>
      <c r="D52" s="28" t="n">
        <f aca="false">D46-D51</f>
        <v>743750</v>
      </c>
      <c r="E52" s="28" t="n">
        <f aca="false">E46-E51</f>
        <v>1983333.33333333</v>
      </c>
      <c r="F52" s="3"/>
      <c r="G52" s="3"/>
      <c r="H52" s="3" t="s">
        <v>254</v>
      </c>
    </row>
    <row r="53" customFormat="false" ht="15" hidden="false" customHeight="false" outlineLevel="0" collapsed="false">
      <c r="A53" s="3" t="s">
        <v>255</v>
      </c>
      <c r="B53" s="28" t="n">
        <f aca="false">B51*Maint_Pct</f>
        <v>20166.6666666667</v>
      </c>
      <c r="C53" s="28" t="n">
        <f aca="false">C51*Maint_Pct</f>
        <v>50416.6666666667</v>
      </c>
      <c r="D53" s="28" t="n">
        <f aca="false">D51*Maint_Pct</f>
        <v>75625</v>
      </c>
      <c r="E53" s="28" t="n">
        <f aca="false">E51*Maint_Pct</f>
        <v>201666.666666667</v>
      </c>
      <c r="F53" s="3"/>
      <c r="G53" s="3"/>
      <c r="H53" s="3" t="s">
        <v>256</v>
      </c>
    </row>
    <row r="54" customFormat="false" ht="15" hidden="false" customHeight="false" outlineLevel="0" collapsed="false">
      <c r="A54" s="3" t="s">
        <v>257</v>
      </c>
      <c r="B54" s="28" t="n">
        <f aca="false">Refresh_Offset</f>
        <v>20000</v>
      </c>
      <c r="C54" s="28" t="n">
        <f aca="false">Refresh_Offset</f>
        <v>20000</v>
      </c>
      <c r="D54" s="28" t="n">
        <f aca="false">Refresh_Offset</f>
        <v>20000</v>
      </c>
      <c r="E54" s="28" t="n">
        <f aca="false">Refresh_Offset</f>
        <v>20000</v>
      </c>
      <c r="F54" s="3"/>
      <c r="G54" s="3"/>
      <c r="H54" s="3" t="s">
        <v>258</v>
      </c>
    </row>
    <row r="55" customFormat="false" ht="15" hidden="false" customHeight="false" outlineLevel="0" collapsed="false">
      <c r="A55" s="3" t="s">
        <v>259</v>
      </c>
      <c r="B55" s="28" t="n">
        <f aca="false">Small_Query_Allowance</f>
        <v>20000</v>
      </c>
      <c r="C55" s="28" t="n">
        <f aca="false">Small_Query_Allowance</f>
        <v>20000</v>
      </c>
      <c r="D55" s="28" t="n">
        <f aca="false">Small_Query_Allowance</f>
        <v>20000</v>
      </c>
      <c r="E55" s="28" t="n">
        <f aca="false">Small_Query_Allowance</f>
        <v>20000</v>
      </c>
      <c r="F55" s="3"/>
      <c r="G55" s="3"/>
      <c r="H55" s="3" t="s">
        <v>260</v>
      </c>
    </row>
    <row r="56" customFormat="false" ht="15" hidden="false" customHeight="false" outlineLevel="0" collapsed="false">
      <c r="A56" s="3" t="s">
        <v>261</v>
      </c>
      <c r="B56" s="28" t="n">
        <f aca="false">'Inputs - Common'!C18*FTE_Cost</f>
        <v>150000</v>
      </c>
      <c r="C56" s="28" t="n">
        <f aca="false">'Inputs - Common'!C19*FTE_Cost</f>
        <v>200000</v>
      </c>
      <c r="D56" s="28" t="n">
        <f aca="false">'Inputs - Common'!C20*FTE_Cost</f>
        <v>250000</v>
      </c>
      <c r="E56" s="28" t="n">
        <f aca="false">'Inputs - Common'!C21*FTE_Cost</f>
        <v>400000</v>
      </c>
      <c r="F56" s="3"/>
      <c r="G56" s="3"/>
      <c r="H56" s="3" t="s">
        <v>262</v>
      </c>
    </row>
    <row r="57" customFormat="false" ht="15" hidden="false" customHeight="false" outlineLevel="0" collapsed="false">
      <c r="A57" s="15" t="s">
        <v>47</v>
      </c>
      <c r="B57" s="35" t="n">
        <f aca="false">B52-B53-B54-B55-B56</f>
        <v>-11833.3333333334</v>
      </c>
      <c r="C57" s="35" t="n">
        <f aca="false">C52-C53-C54-C55-C56</f>
        <v>205416.666666667</v>
      </c>
      <c r="D57" s="35" t="n">
        <f aca="false">D52-D53-D54-D55-D56</f>
        <v>378125</v>
      </c>
      <c r="E57" s="35" t="n">
        <f aca="false">E52-E53-E54-E55-E56</f>
        <v>1341666.66666667</v>
      </c>
      <c r="F57" s="3"/>
      <c r="G57" s="3"/>
      <c r="H57" s="3" t="s">
        <v>263</v>
      </c>
    </row>
    <row r="58" customFormat="false" ht="15" hidden="false" customHeight="false" outlineLevel="0" collapsed="false">
      <c r="A58" s="3" t="s">
        <v>264</v>
      </c>
      <c r="B58" s="30" t="n">
        <f aca="false">IF(B46&gt;0,B57/B46,0)</f>
        <v>-0.0295833333333334</v>
      </c>
      <c r="C58" s="30" t="n">
        <f aca="false">IF(C46&gt;0,C57/C46,0)</f>
        <v>0.205416666666667</v>
      </c>
      <c r="D58" s="30" t="n">
        <f aca="false">IF(D46&gt;0,D57/D46,0)</f>
        <v>0.252083333333333</v>
      </c>
      <c r="E58" s="30" t="n">
        <f aca="false">IF(E46&gt;0,E57/E46,0)</f>
        <v>0.335416666666667</v>
      </c>
      <c r="F58" s="3"/>
      <c r="G58" s="3"/>
      <c r="H58" s="3" t="s">
        <v>265</v>
      </c>
    </row>
    <row r="61" customFormat="false" ht="15" hidden="false" customHeight="false" outlineLevel="0" collapsed="false">
      <c r="A61" s="5" t="s">
        <v>267</v>
      </c>
    </row>
    <row r="62" customFormat="false" ht="15" hidden="false" customHeight="false" outlineLevel="0" collapsed="false">
      <c r="A62" s="14" t="s">
        <v>242</v>
      </c>
      <c r="B62" s="14" t="s">
        <v>132</v>
      </c>
      <c r="C62" s="14" t="s">
        <v>137</v>
      </c>
      <c r="D62" s="14" t="s">
        <v>141</v>
      </c>
      <c r="E62" s="14" t="s">
        <v>144</v>
      </c>
      <c r="F62" s="14"/>
      <c r="G62" s="14"/>
      <c r="H62" s="14" t="s">
        <v>213</v>
      </c>
    </row>
    <row r="63" customFormat="false" ht="15" hidden="false" customHeight="false" outlineLevel="0" collapsed="false">
      <c r="A63" s="3" t="s">
        <v>243</v>
      </c>
      <c r="B63" s="33" t="n">
        <f aca="false">'Inputs - Common'!B18</f>
        <v>400000</v>
      </c>
      <c r="C63" s="33" t="n">
        <f aca="false">'Inputs - Common'!B19</f>
        <v>1000000</v>
      </c>
      <c r="D63" s="33" t="n">
        <f aca="false">'Inputs - Common'!B20</f>
        <v>1500000</v>
      </c>
      <c r="E63" s="33" t="n">
        <f aca="false">'Inputs - Common'!B21</f>
        <v>4000000</v>
      </c>
      <c r="F63" s="3"/>
      <c r="G63" s="3"/>
      <c r="H63" s="3" t="s">
        <v>244</v>
      </c>
    </row>
    <row r="64" customFormat="false" ht="15" hidden="false" customHeight="false" outlineLevel="0" collapsed="false">
      <c r="A64" s="3" t="s">
        <v>245</v>
      </c>
      <c r="B64" s="10" t="str">
        <f aca="false">'Inputs - Common'!D18</f>
        <v>N</v>
      </c>
      <c r="C64" s="10" t="str">
        <f aca="false">'Inputs - Common'!D19</f>
        <v>Y</v>
      </c>
      <c r="D64" s="10" t="str">
        <f aca="false">'Inputs - Common'!D20</f>
        <v>Y</v>
      </c>
      <c r="E64" s="10" t="str">
        <f aca="false">'Inputs - Common'!D21</f>
        <v>Y</v>
      </c>
      <c r="F64" s="3"/>
      <c r="G64" s="3"/>
      <c r="H64" s="3" t="s">
        <v>244</v>
      </c>
    </row>
    <row r="65" customFormat="false" ht="15" hidden="false" customHeight="false" outlineLevel="0" collapsed="false">
      <c r="A65" s="3" t="s">
        <v>228</v>
      </c>
      <c r="B65" s="26" t="n">
        <f aca="false">$D$14</f>
        <v>15</v>
      </c>
      <c r="C65" s="26" t="n">
        <f aca="false">$D$14</f>
        <v>15</v>
      </c>
      <c r="D65" s="26" t="n">
        <f aca="false">$D$14</f>
        <v>15</v>
      </c>
      <c r="E65" s="26" t="n">
        <f aca="false">$D$14</f>
        <v>15</v>
      </c>
      <c r="F65" s="3"/>
      <c r="G65" s="3"/>
      <c r="H65" s="3" t="s">
        <v>246</v>
      </c>
    </row>
    <row r="66" customFormat="false" ht="15" hidden="false" customHeight="false" outlineLevel="0" collapsed="false">
      <c r="A66" s="3" t="s">
        <v>247</v>
      </c>
      <c r="B66" s="34" t="n">
        <f aca="false">IF(B65&gt;0,B63/B65,0)</f>
        <v>26666.6666666667</v>
      </c>
      <c r="C66" s="34" t="n">
        <f aca="false">IF(C65&gt;0,C63/C65,0)</f>
        <v>66666.6666666667</v>
      </c>
      <c r="D66" s="34" t="n">
        <f aca="false">IF(D65&gt;0,D63/D65,0)</f>
        <v>100000</v>
      </c>
      <c r="E66" s="34" t="n">
        <f aca="false">IF(E65&gt;0,E63/E65,0)</f>
        <v>266666.666666667</v>
      </c>
      <c r="F66" s="3"/>
      <c r="G66" s="3"/>
      <c r="H66" s="3" t="s">
        <v>248</v>
      </c>
    </row>
    <row r="67" customFormat="false" ht="15" hidden="false" customHeight="false" outlineLevel="0" collapsed="false">
      <c r="A67" s="3" t="s">
        <v>249</v>
      </c>
      <c r="B67" s="34" t="n">
        <f aca="false">B66*K_Ratio</f>
        <v>29333.3333333333</v>
      </c>
      <c r="C67" s="34" t="n">
        <f aca="false">C66*K_Ratio</f>
        <v>73333.3333333333</v>
      </c>
      <c r="D67" s="34" t="n">
        <f aca="false">D66*K_Ratio</f>
        <v>110000</v>
      </c>
      <c r="E67" s="34" t="n">
        <f aca="false">E66*K_Ratio</f>
        <v>293333.333333333</v>
      </c>
      <c r="F67" s="3"/>
      <c r="G67" s="3"/>
      <c r="H67" s="3" t="s">
        <v>250</v>
      </c>
    </row>
    <row r="68" customFormat="false" ht="15" hidden="false" customHeight="false" outlineLevel="0" collapsed="false">
      <c r="A68" s="3" t="s">
        <v>251</v>
      </c>
      <c r="B68" s="28" t="n">
        <f aca="false">B67*$B$6</f>
        <v>161333.333333333</v>
      </c>
      <c r="C68" s="28" t="n">
        <f aca="false">C67*$B$6</f>
        <v>403333.333333333</v>
      </c>
      <c r="D68" s="28" t="n">
        <f aca="false">D67*$B$6</f>
        <v>605000</v>
      </c>
      <c r="E68" s="28" t="n">
        <f aca="false">E67*$B$6</f>
        <v>1613333.33333333</v>
      </c>
      <c r="F68" s="3"/>
      <c r="G68" s="3"/>
      <c r="H68" s="3" t="s">
        <v>252</v>
      </c>
    </row>
    <row r="69" customFormat="false" ht="15" hidden="false" customHeight="false" outlineLevel="0" collapsed="false">
      <c r="A69" s="3" t="s">
        <v>253</v>
      </c>
      <c r="B69" s="28" t="n">
        <f aca="false">B63-B68</f>
        <v>238666.666666667</v>
      </c>
      <c r="C69" s="28" t="n">
        <f aca="false">C63-C68</f>
        <v>596666.666666667</v>
      </c>
      <c r="D69" s="28" t="n">
        <f aca="false">D63-D68</f>
        <v>895000</v>
      </c>
      <c r="E69" s="28" t="n">
        <f aca="false">E63-E68</f>
        <v>2386666.66666667</v>
      </c>
      <c r="F69" s="3"/>
      <c r="G69" s="3"/>
      <c r="H69" s="3" t="s">
        <v>254</v>
      </c>
    </row>
    <row r="70" customFormat="false" ht="15" hidden="false" customHeight="false" outlineLevel="0" collapsed="false">
      <c r="A70" s="3" t="s">
        <v>255</v>
      </c>
      <c r="B70" s="28" t="n">
        <f aca="false">B68*Maint_Pct</f>
        <v>16133.3333333333</v>
      </c>
      <c r="C70" s="28" t="n">
        <f aca="false">C68*Maint_Pct</f>
        <v>40333.3333333333</v>
      </c>
      <c r="D70" s="28" t="n">
        <f aca="false">D68*Maint_Pct</f>
        <v>60500</v>
      </c>
      <c r="E70" s="28" t="n">
        <f aca="false">E68*Maint_Pct</f>
        <v>161333.333333333</v>
      </c>
      <c r="F70" s="3"/>
      <c r="G70" s="3"/>
      <c r="H70" s="3" t="s">
        <v>256</v>
      </c>
    </row>
    <row r="71" customFormat="false" ht="15" hidden="false" customHeight="false" outlineLevel="0" collapsed="false">
      <c r="A71" s="3" t="s">
        <v>257</v>
      </c>
      <c r="B71" s="28" t="n">
        <f aca="false">Refresh_Offset</f>
        <v>20000</v>
      </c>
      <c r="C71" s="28" t="n">
        <f aca="false">Refresh_Offset</f>
        <v>20000</v>
      </c>
      <c r="D71" s="28" t="n">
        <f aca="false">Refresh_Offset</f>
        <v>20000</v>
      </c>
      <c r="E71" s="28" t="n">
        <f aca="false">Refresh_Offset</f>
        <v>20000</v>
      </c>
      <c r="F71" s="3"/>
      <c r="G71" s="3"/>
      <c r="H71" s="3" t="s">
        <v>258</v>
      </c>
    </row>
    <row r="72" customFormat="false" ht="15" hidden="false" customHeight="false" outlineLevel="0" collapsed="false">
      <c r="A72" s="3" t="s">
        <v>259</v>
      </c>
      <c r="B72" s="28" t="n">
        <f aca="false">Small_Query_Allowance</f>
        <v>20000</v>
      </c>
      <c r="C72" s="28" t="n">
        <f aca="false">Small_Query_Allowance</f>
        <v>20000</v>
      </c>
      <c r="D72" s="28" t="n">
        <f aca="false">Small_Query_Allowance</f>
        <v>20000</v>
      </c>
      <c r="E72" s="28" t="n">
        <f aca="false">Small_Query_Allowance</f>
        <v>20000</v>
      </c>
      <c r="F72" s="3"/>
      <c r="G72" s="3"/>
      <c r="H72" s="3" t="s">
        <v>260</v>
      </c>
    </row>
    <row r="73" customFormat="false" ht="15" hidden="false" customHeight="false" outlineLevel="0" collapsed="false">
      <c r="A73" s="3" t="s">
        <v>261</v>
      </c>
      <c r="B73" s="28" t="n">
        <f aca="false">'Inputs - Common'!C18*FTE_Cost</f>
        <v>150000</v>
      </c>
      <c r="C73" s="28" t="n">
        <f aca="false">'Inputs - Common'!C19*FTE_Cost</f>
        <v>200000</v>
      </c>
      <c r="D73" s="28" t="n">
        <f aca="false">'Inputs - Common'!C20*FTE_Cost</f>
        <v>250000</v>
      </c>
      <c r="E73" s="28" t="n">
        <f aca="false">'Inputs - Common'!C21*FTE_Cost</f>
        <v>400000</v>
      </c>
      <c r="F73" s="3"/>
      <c r="G73" s="3"/>
      <c r="H73" s="3" t="s">
        <v>262</v>
      </c>
    </row>
    <row r="74" customFormat="false" ht="15" hidden="false" customHeight="false" outlineLevel="0" collapsed="false">
      <c r="A74" s="15" t="s">
        <v>47</v>
      </c>
      <c r="B74" s="35" t="n">
        <f aca="false">B69-B70-B71-B72-B73</f>
        <v>32533.3333333333</v>
      </c>
      <c r="C74" s="35" t="n">
        <f aca="false">C69-C70-C71-C72-C73</f>
        <v>316333.333333333</v>
      </c>
      <c r="D74" s="35" t="n">
        <f aca="false">D69-D70-D71-D72-D73</f>
        <v>544500</v>
      </c>
      <c r="E74" s="35" t="n">
        <f aca="false">E69-E70-E71-E72-E73</f>
        <v>1785333.33333333</v>
      </c>
      <c r="F74" s="3"/>
      <c r="G74" s="3"/>
      <c r="H74" s="3" t="s">
        <v>263</v>
      </c>
    </row>
    <row r="75" customFormat="false" ht="15" hidden="false" customHeight="false" outlineLevel="0" collapsed="false">
      <c r="A75" s="3" t="s">
        <v>264</v>
      </c>
      <c r="B75" s="30" t="n">
        <f aca="false">IF(B63&gt;0,B74/B63,0)</f>
        <v>0.0813333333333333</v>
      </c>
      <c r="C75" s="30" t="n">
        <f aca="false">IF(C63&gt;0,C74/C63,0)</f>
        <v>0.316333333333333</v>
      </c>
      <c r="D75" s="30" t="n">
        <f aca="false">IF(D63&gt;0,D74/D63,0)</f>
        <v>0.363</v>
      </c>
      <c r="E75" s="30" t="n">
        <f aca="false">IF(E63&gt;0,E74/E63,0)</f>
        <v>0.446333333333333</v>
      </c>
      <c r="F75" s="3"/>
      <c r="G75" s="3"/>
      <c r="H75" s="3" t="s">
        <v>265</v>
      </c>
    </row>
  </sheetData>
  <mergeCells count="51">
    <mergeCell ref="C5:G5"/>
    <mergeCell ref="C6:G6"/>
    <mergeCell ref="C7:G7"/>
    <mergeCell ref="C8:G8"/>
    <mergeCell ref="C9:G9"/>
    <mergeCell ref="C10:G10"/>
    <mergeCell ref="E13:G13"/>
    <mergeCell ref="E14:G14"/>
    <mergeCell ref="E15:G15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7" min="2" style="0" width="18"/>
    <col collapsed="false" customWidth="true" hidden="false" outlineLevel="0" max="8" min="8" style="0" width="60"/>
  </cols>
  <sheetData>
    <row r="1" customFormat="false" ht="17.35" hidden="false" customHeight="false" outlineLevel="0" collapsed="false">
      <c r="A1" s="1" t="s">
        <v>268</v>
      </c>
    </row>
    <row r="2" customFormat="false" ht="15" hidden="false" customHeight="false" outlineLevel="0" collapsed="false">
      <c r="A2" s="13" t="s">
        <v>210</v>
      </c>
    </row>
    <row r="4" customFormat="false" ht="15" hidden="false" customHeight="false" outlineLevel="0" collapsed="false">
      <c r="A4" s="5" t="s">
        <v>269</v>
      </c>
    </row>
    <row r="5" customFormat="false" ht="15" hidden="false" customHeight="false" outlineLevel="0" collapsed="false">
      <c r="A5" s="14" t="s">
        <v>227</v>
      </c>
      <c r="B5" s="14" t="s">
        <v>175</v>
      </c>
      <c r="C5" s="14" t="s">
        <v>176</v>
      </c>
      <c r="D5" s="14" t="s">
        <v>177</v>
      </c>
      <c r="E5" s="14"/>
      <c r="F5" s="14"/>
      <c r="G5" s="14"/>
      <c r="H5" s="14" t="s">
        <v>213</v>
      </c>
    </row>
    <row r="6" customFormat="false" ht="15" hidden="false" customHeight="false" outlineLevel="0" collapsed="false">
      <c r="A6" s="15" t="s">
        <v>198</v>
      </c>
      <c r="B6" s="36" t="n">
        <f aca="false">'Inputs - Reservations'!B13</f>
        <v>0.7</v>
      </c>
      <c r="C6" s="36" t="n">
        <f aca="false">'Inputs - Reservations'!C13</f>
        <v>0.6</v>
      </c>
      <c r="D6" s="36" t="n">
        <f aca="false">'Inputs - Reservations'!D13</f>
        <v>0.5</v>
      </c>
      <c r="E6" s="3"/>
      <c r="F6" s="3"/>
      <c r="G6" s="3"/>
      <c r="H6" s="3" t="s">
        <v>270</v>
      </c>
    </row>
    <row r="7" customFormat="false" ht="15" hidden="false" customHeight="false" outlineLevel="0" collapsed="false">
      <c r="A7" s="15" t="s">
        <v>271</v>
      </c>
      <c r="B7" s="37" t="n">
        <f aca="false">'Inputs - Reservations'!B14</f>
        <v>8</v>
      </c>
      <c r="C7" s="37" t="n">
        <f aca="false">'Inputs - Reservations'!C14</f>
        <v>5</v>
      </c>
      <c r="D7" s="37" t="n">
        <f aca="false">'Inputs - Reservations'!D14</f>
        <v>3</v>
      </c>
      <c r="E7" s="3"/>
      <c r="F7" s="3"/>
      <c r="G7" s="3"/>
      <c r="H7" s="3" t="s">
        <v>270</v>
      </c>
    </row>
    <row r="8" customFormat="false" ht="15" hidden="false" customHeight="false" outlineLevel="0" collapsed="false">
      <c r="A8" s="15" t="s">
        <v>206</v>
      </c>
      <c r="B8" s="36" t="n">
        <f aca="false">'Inputs - Reservations'!B15</f>
        <v>0.6</v>
      </c>
      <c r="C8" s="36" t="n">
        <f aca="false">'Inputs - Reservations'!C15</f>
        <v>0.7</v>
      </c>
      <c r="D8" s="36" t="n">
        <f aca="false">'Inputs - Reservations'!D15</f>
        <v>0.8</v>
      </c>
      <c r="E8" s="3"/>
      <c r="F8" s="3"/>
      <c r="G8" s="3"/>
      <c r="H8" s="3" t="s">
        <v>270</v>
      </c>
    </row>
    <row r="9" customFormat="false" ht="15" hidden="false" customHeight="false" outlineLevel="0" collapsed="false">
      <c r="A9" s="15" t="s">
        <v>272</v>
      </c>
      <c r="B9" s="38" t="n">
        <f aca="false">IF(B8*SF_Price&gt;0,B6*B7*Athena_DPU_Price/(B8*SF_Price),0)</f>
        <v>0.8</v>
      </c>
      <c r="C9" s="38" t="n">
        <f aca="false">IF(C8*SF_Price&gt;0,C6*C7*Athena_DPU_Price/(C8*SF_Price),0)</f>
        <v>0.36734693877551</v>
      </c>
      <c r="D9" s="38" t="n">
        <f aca="false">IF(D8*SF_Price&gt;0,D6*D7*Athena_DPU_Price/(D8*SF_Price),0)</f>
        <v>0.160714285714286</v>
      </c>
      <c r="E9" s="3"/>
      <c r="F9" s="3"/>
      <c r="G9" s="3"/>
      <c r="H9" s="3" t="s">
        <v>273</v>
      </c>
    </row>
    <row r="10" customFormat="false" ht="15" hidden="false" customHeight="false" outlineLevel="0" collapsed="false">
      <c r="A10" s="15" t="s">
        <v>274</v>
      </c>
      <c r="B10" s="30" t="n">
        <f aca="false">1-B9</f>
        <v>0.2</v>
      </c>
      <c r="C10" s="30" t="n">
        <f aca="false">1-C9</f>
        <v>0.63265306122449</v>
      </c>
      <c r="D10" s="30" t="n">
        <f aca="false">1-D9</f>
        <v>0.839285714285714</v>
      </c>
      <c r="E10" s="3"/>
      <c r="F10" s="3"/>
      <c r="G10" s="3"/>
      <c r="H10" s="3" t="s">
        <v>275</v>
      </c>
    </row>
    <row r="11" customFormat="false" ht="23.85" hidden="false" customHeight="false" outlineLevel="0" collapsed="false">
      <c r="A11" s="15" t="s">
        <v>276</v>
      </c>
      <c r="B11" s="27" t="n">
        <f aca="false">IF(B6*Athena_DPU_Price&gt;0,B8*SF_Price/(B6*Athena_DPU_Price),0)</f>
        <v>10</v>
      </c>
      <c r="C11" s="27" t="n">
        <f aca="false">IF(C6*Athena_DPU_Price&gt;0,C8*SF_Price/(C6*Athena_DPU_Price),0)</f>
        <v>13.6111111111111</v>
      </c>
      <c r="D11" s="27" t="n">
        <f aca="false">IF(D6*Athena_DPU_Price&gt;0,D8*SF_Price/(D6*Athena_DPU_Price),0)</f>
        <v>18.6666666666667</v>
      </c>
      <c r="E11" s="3"/>
      <c r="F11" s="3"/>
      <c r="G11" s="3"/>
      <c r="H11" s="3" t="s">
        <v>277</v>
      </c>
    </row>
    <row r="12" customFormat="false" ht="23.85" hidden="false" customHeight="false" outlineLevel="0" collapsed="false">
      <c r="A12" s="15" t="s">
        <v>278</v>
      </c>
      <c r="B12" s="30" t="n">
        <f aca="false">IF(B11&gt;0,B7/B11,0)</f>
        <v>0.8</v>
      </c>
      <c r="C12" s="30" t="n">
        <f aca="false">IF(C11&gt;0,C7/C11,0)</f>
        <v>0.36734693877551</v>
      </c>
      <c r="D12" s="30" t="n">
        <f aca="false">IF(D11&gt;0,D7/D11,0)</f>
        <v>0.160714285714286</v>
      </c>
      <c r="E12" s="3"/>
      <c r="F12" s="3"/>
      <c r="G12" s="3"/>
      <c r="H12" s="3" t="s">
        <v>279</v>
      </c>
    </row>
    <row r="14" customFormat="false" ht="15" hidden="false" customHeight="false" outlineLevel="0" collapsed="false">
      <c r="A14" s="5" t="s">
        <v>280</v>
      </c>
    </row>
    <row r="15" customFormat="false" ht="15" hidden="false" customHeight="true" outlineLevel="0" collapsed="false">
      <c r="A15" s="14" t="s">
        <v>212</v>
      </c>
      <c r="B15" s="14" t="s">
        <v>89</v>
      </c>
      <c r="C15" s="14" t="s">
        <v>90</v>
      </c>
      <c r="D15" s="14"/>
      <c r="E15" s="14"/>
      <c r="F15" s="14"/>
      <c r="G15" s="14"/>
      <c r="H15" s="14" t="s">
        <v>213</v>
      </c>
    </row>
    <row r="16" customFormat="false" ht="27" hidden="false" customHeight="true" outlineLevel="0" collapsed="false">
      <c r="A16" s="15" t="s">
        <v>281</v>
      </c>
      <c r="B16" s="39" t="n">
        <f aca="false">IF(Athena_OD_Price&gt;0,Athena_DPU_Price/Athena_OD_Price,0)</f>
        <v>0.06</v>
      </c>
      <c r="C16" s="3" t="s">
        <v>282</v>
      </c>
      <c r="D16" s="3"/>
      <c r="E16" s="3"/>
      <c r="F16" s="3"/>
      <c r="G16" s="3"/>
      <c r="H16" s="3" t="s">
        <v>283</v>
      </c>
    </row>
    <row r="18" customFormat="false" ht="15" hidden="false" customHeight="false" outlineLevel="0" collapsed="false">
      <c r="A18" s="5" t="s">
        <v>284</v>
      </c>
    </row>
    <row r="19" customFormat="false" ht="15" hidden="false" customHeight="false" outlineLevel="0" collapsed="false">
      <c r="A19" s="14" t="s">
        <v>242</v>
      </c>
      <c r="B19" s="14" t="s">
        <v>132</v>
      </c>
      <c r="C19" s="14" t="s">
        <v>137</v>
      </c>
      <c r="D19" s="14" t="s">
        <v>141</v>
      </c>
      <c r="E19" s="14" t="s">
        <v>144</v>
      </c>
      <c r="F19" s="14"/>
      <c r="G19" s="14"/>
      <c r="H19" s="14" t="s">
        <v>213</v>
      </c>
    </row>
    <row r="20" customFormat="false" ht="15" hidden="false" customHeight="false" outlineLevel="0" collapsed="false">
      <c r="A20" s="3" t="s">
        <v>243</v>
      </c>
      <c r="B20" s="33" t="n">
        <f aca="false">'Inputs - Common'!B18</f>
        <v>400000</v>
      </c>
      <c r="C20" s="33" t="n">
        <f aca="false">'Inputs - Common'!B19</f>
        <v>1000000</v>
      </c>
      <c r="D20" s="33" t="n">
        <f aca="false">'Inputs - Common'!B20</f>
        <v>1500000</v>
      </c>
      <c r="E20" s="33" t="n">
        <f aca="false">'Inputs - Common'!B21</f>
        <v>4000000</v>
      </c>
      <c r="F20" s="3"/>
      <c r="G20" s="3"/>
      <c r="H20" s="3" t="s">
        <v>244</v>
      </c>
    </row>
    <row r="21" customFormat="false" ht="15" hidden="false" customHeight="false" outlineLevel="0" collapsed="false">
      <c r="A21" s="3" t="s">
        <v>245</v>
      </c>
      <c r="B21" s="10" t="str">
        <f aca="false">'Inputs - Common'!D18</f>
        <v>N</v>
      </c>
      <c r="C21" s="10" t="str">
        <f aca="false">'Inputs - Common'!D19</f>
        <v>Y</v>
      </c>
      <c r="D21" s="10" t="str">
        <f aca="false">'Inputs - Common'!D20</f>
        <v>Y</v>
      </c>
      <c r="E21" s="10" t="str">
        <f aca="false">'Inputs - Common'!D21</f>
        <v>Y</v>
      </c>
      <c r="F21" s="3"/>
      <c r="G21" s="3"/>
      <c r="H21" s="3" t="s">
        <v>244</v>
      </c>
    </row>
    <row r="22" customFormat="false" ht="15" hidden="false" customHeight="false" outlineLevel="0" collapsed="false">
      <c r="A22" s="3" t="s">
        <v>285</v>
      </c>
      <c r="B22" s="34" t="n">
        <f aca="false">IF(SF_Price&gt;0,B20/SF_Price,0)</f>
        <v>114285.714285714</v>
      </c>
      <c r="C22" s="34" t="n">
        <f aca="false">IF(SF_Price&gt;0,C20/SF_Price,0)</f>
        <v>285714.285714286</v>
      </c>
      <c r="D22" s="34" t="n">
        <f aca="false">IF(SF_Price&gt;0,D20/SF_Price,0)</f>
        <v>428571.428571429</v>
      </c>
      <c r="E22" s="34" t="n">
        <f aca="false">IF(SF_Price&gt;0,E20/SF_Price,0)</f>
        <v>1142857.14285714</v>
      </c>
      <c r="F22" s="3"/>
      <c r="G22" s="3"/>
      <c r="H22" s="3" t="s">
        <v>286</v>
      </c>
    </row>
    <row r="23" customFormat="false" ht="15" hidden="false" customHeight="false" outlineLevel="0" collapsed="false">
      <c r="A23" s="3" t="s">
        <v>287</v>
      </c>
      <c r="B23" s="34" t="n">
        <f aca="false">B22*$B$6</f>
        <v>80000</v>
      </c>
      <c r="C23" s="34" t="n">
        <f aca="false">C22*$B$6</f>
        <v>200000</v>
      </c>
      <c r="D23" s="34" t="n">
        <f aca="false">D22*$B$6</f>
        <v>300000</v>
      </c>
      <c r="E23" s="34" t="n">
        <f aca="false">E22*$B$6</f>
        <v>800000</v>
      </c>
      <c r="F23" s="3"/>
      <c r="G23" s="3"/>
      <c r="H23" s="3" t="s">
        <v>288</v>
      </c>
    </row>
    <row r="24" customFormat="false" ht="15" hidden="false" customHeight="false" outlineLevel="0" collapsed="false">
      <c r="A24" s="3" t="s">
        <v>289</v>
      </c>
      <c r="B24" s="34" t="n">
        <f aca="false">B23*$B$7</f>
        <v>640000</v>
      </c>
      <c r="C24" s="34" t="n">
        <f aca="false">C23*$B$7</f>
        <v>1600000</v>
      </c>
      <c r="D24" s="34" t="n">
        <f aca="false">D23*$B$7</f>
        <v>2400000</v>
      </c>
      <c r="E24" s="34" t="n">
        <f aca="false">E23*$B$7</f>
        <v>6400000</v>
      </c>
      <c r="F24" s="3"/>
      <c r="G24" s="3"/>
      <c r="H24" s="3" t="s">
        <v>290</v>
      </c>
    </row>
    <row r="25" customFormat="false" ht="15" hidden="false" customHeight="false" outlineLevel="0" collapsed="false">
      <c r="A25" s="3" t="s">
        <v>291</v>
      </c>
      <c r="B25" s="34" t="n">
        <f aca="false">IF($B$8&gt;0,B24/$B$8,0)</f>
        <v>1066666.66666667</v>
      </c>
      <c r="C25" s="34" t="n">
        <f aca="false">IF($B$8&gt;0,C24/$B$8,0)</f>
        <v>2666666.66666667</v>
      </c>
      <c r="D25" s="34" t="n">
        <f aca="false">IF($B$8&gt;0,D24/$B$8,0)</f>
        <v>4000000</v>
      </c>
      <c r="E25" s="34" t="n">
        <f aca="false">IF($B$8&gt;0,E24/$B$8,0)</f>
        <v>10666666.6666667</v>
      </c>
      <c r="F25" s="3"/>
      <c r="G25" s="3"/>
      <c r="H25" s="3" t="s">
        <v>292</v>
      </c>
    </row>
    <row r="26" customFormat="false" ht="15" hidden="false" customHeight="false" outlineLevel="0" collapsed="false">
      <c r="A26" s="3" t="s">
        <v>293</v>
      </c>
      <c r="B26" s="34" t="n">
        <f aca="false">IF(Hours_Per_Year&gt;0,B25/Hours_Per_Year,0)</f>
        <v>121.765601217656</v>
      </c>
      <c r="C26" s="34" t="n">
        <f aca="false">IF(Hours_Per_Year&gt;0,C25/Hours_Per_Year,0)</f>
        <v>304.41400304414</v>
      </c>
      <c r="D26" s="34" t="n">
        <f aca="false">IF(Hours_Per_Year&gt;0,D25/Hours_Per_Year,0)</f>
        <v>456.62100456621</v>
      </c>
      <c r="E26" s="34" t="n">
        <f aca="false">IF(Hours_Per_Year&gt;0,E25/Hours_Per_Year,0)</f>
        <v>1217.65601217656</v>
      </c>
      <c r="F26" s="3"/>
      <c r="G26" s="3"/>
      <c r="H26" s="3" t="s">
        <v>294</v>
      </c>
    </row>
    <row r="27" customFormat="false" ht="23.85" hidden="false" customHeight="false" outlineLevel="0" collapsed="false">
      <c r="A27" s="3" t="s">
        <v>295</v>
      </c>
      <c r="B27" s="9" t="str">
        <f aca="false">IF(B26&gt;Res_Max_DPU,"YES","No")</f>
        <v>No</v>
      </c>
      <c r="C27" s="9" t="str">
        <f aca="false">IF(C26&gt;Res_Max_DPU,"YES","No")</f>
        <v>No</v>
      </c>
      <c r="D27" s="9" t="str">
        <f aca="false">IF(D26&gt;Res_Max_DPU,"YES","No")</f>
        <v>No</v>
      </c>
      <c r="E27" s="9" t="str">
        <f aca="false">IF(E26&gt;Res_Max_DPU,"YES","No")</f>
        <v>YES</v>
      </c>
      <c r="F27" s="3"/>
      <c r="G27" s="3"/>
      <c r="H27" s="3" t="s">
        <v>296</v>
      </c>
    </row>
    <row r="28" customFormat="false" ht="15" hidden="false" customHeight="false" outlineLevel="0" collapsed="false">
      <c r="A28" s="3" t="s">
        <v>297</v>
      </c>
      <c r="B28" s="28" t="n">
        <f aca="false">B25*Athena_DPU_Price</f>
        <v>320000</v>
      </c>
      <c r="C28" s="28" t="n">
        <f aca="false">C25*Athena_DPU_Price</f>
        <v>800000</v>
      </c>
      <c r="D28" s="28" t="n">
        <f aca="false">D25*Athena_DPU_Price</f>
        <v>1200000</v>
      </c>
      <c r="E28" s="28" t="n">
        <f aca="false">E25*Athena_DPU_Price</f>
        <v>3200000</v>
      </c>
      <c r="F28" s="3"/>
      <c r="G28" s="3"/>
      <c r="H28" s="3" t="s">
        <v>298</v>
      </c>
    </row>
    <row r="29" customFormat="false" ht="15" hidden="false" customHeight="false" outlineLevel="0" collapsed="false">
      <c r="A29" s="3" t="s">
        <v>299</v>
      </c>
      <c r="B29" s="34" t="n">
        <f aca="false">IF(Res_Ref_S&gt;0,K_Ratio*B20/Res_Ref_S,0)</f>
        <v>36666.6666666667</v>
      </c>
      <c r="C29" s="34" t="n">
        <f aca="false">IF(Res_Ref_S&gt;0,K_Ratio*C20/Res_Ref_S,0)</f>
        <v>91666.6666666667</v>
      </c>
      <c r="D29" s="34" t="n">
        <f aca="false">IF(Res_Ref_S&gt;0,K_Ratio*D20/Res_Ref_S,0)</f>
        <v>137500</v>
      </c>
      <c r="E29" s="34" t="n">
        <f aca="false">IF(Res_Ref_S&gt;0,K_Ratio*E20/Res_Ref_S,0)</f>
        <v>366666.666666667</v>
      </c>
      <c r="F29" s="3"/>
      <c r="G29" s="3"/>
      <c r="H29" s="3" t="s">
        <v>300</v>
      </c>
    </row>
    <row r="30" customFormat="false" ht="15" hidden="false" customHeight="false" outlineLevel="0" collapsed="false">
      <c r="A30" s="3" t="s">
        <v>301</v>
      </c>
      <c r="B30" s="28" t="n">
        <f aca="false">B29*S3_Overhead_per_TB</f>
        <v>18333.3333333333</v>
      </c>
      <c r="C30" s="28" t="n">
        <f aca="false">C29*S3_Overhead_per_TB</f>
        <v>45833.3333333333</v>
      </c>
      <c r="D30" s="28" t="n">
        <f aca="false">D29*S3_Overhead_per_TB</f>
        <v>68750</v>
      </c>
      <c r="E30" s="28" t="n">
        <f aca="false">E29*S3_Overhead_per_TB</f>
        <v>183333.333333333</v>
      </c>
      <c r="F30" s="3"/>
      <c r="G30" s="3"/>
      <c r="H30" s="3" t="s">
        <v>302</v>
      </c>
    </row>
    <row r="31" customFormat="false" ht="15" hidden="false" customHeight="false" outlineLevel="0" collapsed="false">
      <c r="A31" s="3" t="s">
        <v>303</v>
      </c>
      <c r="B31" s="28" t="n">
        <f aca="false">B28+B30</f>
        <v>338333.333333333</v>
      </c>
      <c r="C31" s="28" t="n">
        <f aca="false">C28+C30</f>
        <v>845833.333333334</v>
      </c>
      <c r="D31" s="28" t="n">
        <f aca="false">D28+D30</f>
        <v>1268750</v>
      </c>
      <c r="E31" s="28" t="n">
        <f aca="false">E28+E30</f>
        <v>3383333.33333333</v>
      </c>
      <c r="F31" s="3"/>
      <c r="G31" s="3"/>
      <c r="H31" s="3" t="s">
        <v>304</v>
      </c>
    </row>
    <row r="32" customFormat="false" ht="15" hidden="false" customHeight="false" outlineLevel="0" collapsed="false">
      <c r="A32" s="3" t="s">
        <v>253</v>
      </c>
      <c r="B32" s="28" t="n">
        <f aca="false">B20-B31</f>
        <v>61666.6666666667</v>
      </c>
      <c r="C32" s="28" t="n">
        <f aca="false">C20-C31</f>
        <v>154166.666666667</v>
      </c>
      <c r="D32" s="28" t="n">
        <f aca="false">D20-D31</f>
        <v>231250</v>
      </c>
      <c r="E32" s="28" t="n">
        <f aca="false">E20-E31</f>
        <v>616666.666666666</v>
      </c>
      <c r="F32" s="3"/>
      <c r="G32" s="3"/>
      <c r="H32" s="3" t="s">
        <v>254</v>
      </c>
    </row>
    <row r="33" customFormat="false" ht="15" hidden="false" customHeight="false" outlineLevel="0" collapsed="false">
      <c r="A33" s="3" t="s">
        <v>255</v>
      </c>
      <c r="B33" s="28" t="n">
        <f aca="false">B28*Maint_Pct</f>
        <v>32000</v>
      </c>
      <c r="C33" s="28" t="n">
        <f aca="false">C28*Maint_Pct</f>
        <v>80000</v>
      </c>
      <c r="D33" s="28" t="n">
        <f aca="false">D28*Maint_Pct</f>
        <v>120000</v>
      </c>
      <c r="E33" s="28" t="n">
        <f aca="false">E28*Maint_Pct</f>
        <v>320000</v>
      </c>
      <c r="F33" s="3"/>
      <c r="G33" s="3"/>
      <c r="H33" s="3" t="s">
        <v>305</v>
      </c>
    </row>
    <row r="34" customFormat="false" ht="15" hidden="false" customHeight="false" outlineLevel="0" collapsed="false">
      <c r="A34" s="3" t="s">
        <v>257</v>
      </c>
      <c r="B34" s="28" t="n">
        <f aca="false">Refresh_Offset</f>
        <v>20000</v>
      </c>
      <c r="C34" s="28" t="n">
        <f aca="false">Refresh_Offset</f>
        <v>20000</v>
      </c>
      <c r="D34" s="28" t="n">
        <f aca="false">Refresh_Offset</f>
        <v>20000</v>
      </c>
      <c r="E34" s="28" t="n">
        <f aca="false">Refresh_Offset</f>
        <v>20000</v>
      </c>
      <c r="F34" s="3"/>
      <c r="G34" s="3"/>
      <c r="H34" s="3" t="s">
        <v>258</v>
      </c>
    </row>
    <row r="35" customFormat="false" ht="15" hidden="false" customHeight="false" outlineLevel="0" collapsed="false">
      <c r="A35" s="3" t="s">
        <v>261</v>
      </c>
      <c r="B35" s="28" t="n">
        <f aca="false">'Inputs - Common'!C18*FTE_Cost</f>
        <v>150000</v>
      </c>
      <c r="C35" s="28" t="n">
        <f aca="false">'Inputs - Common'!C19*FTE_Cost</f>
        <v>200000</v>
      </c>
      <c r="D35" s="28" t="n">
        <f aca="false">'Inputs - Common'!C20*FTE_Cost</f>
        <v>250000</v>
      </c>
      <c r="E35" s="28" t="n">
        <f aca="false">'Inputs - Common'!C21*FTE_Cost</f>
        <v>400000</v>
      </c>
      <c r="F35" s="3"/>
      <c r="G35" s="3"/>
      <c r="H35" s="3" t="s">
        <v>262</v>
      </c>
    </row>
    <row r="36" customFormat="false" ht="15" hidden="false" customHeight="false" outlineLevel="0" collapsed="false">
      <c r="A36" s="15" t="s">
        <v>47</v>
      </c>
      <c r="B36" s="35" t="n">
        <f aca="false">B32-B33-B34-B35</f>
        <v>-140333.333333333</v>
      </c>
      <c r="C36" s="35" t="n">
        <f aca="false">C32-C33-C34-C35</f>
        <v>-145833.333333334</v>
      </c>
      <c r="D36" s="35" t="n">
        <f aca="false">D32-D33-D34-D35</f>
        <v>-158750</v>
      </c>
      <c r="E36" s="35" t="n">
        <f aca="false">E32-E33-E34-E35</f>
        <v>-123333.333333334</v>
      </c>
      <c r="F36" s="3"/>
      <c r="G36" s="3"/>
      <c r="H36" s="3" t="s">
        <v>263</v>
      </c>
    </row>
    <row r="37" customFormat="false" ht="15" hidden="false" customHeight="false" outlineLevel="0" collapsed="false">
      <c r="A37" s="3" t="s">
        <v>264</v>
      </c>
      <c r="B37" s="30" t="n">
        <f aca="false">IF(B20&gt;0,B36/B20,0)</f>
        <v>-0.350833333333333</v>
      </c>
      <c r="C37" s="30" t="n">
        <f aca="false">IF(C20&gt;0,C36/C20,0)</f>
        <v>-0.145833333333333</v>
      </c>
      <c r="D37" s="30" t="n">
        <f aca="false">IF(D20&gt;0,D36/D20,0)</f>
        <v>-0.105833333333333</v>
      </c>
      <c r="E37" s="30" t="n">
        <f aca="false">IF(E20&gt;0,E36/E20,0)</f>
        <v>-0.0308333333333335</v>
      </c>
      <c r="F37" s="3"/>
      <c r="G37" s="3"/>
      <c r="H37" s="3" t="s">
        <v>265</v>
      </c>
    </row>
    <row r="40" customFormat="false" ht="15" hidden="false" customHeight="false" outlineLevel="0" collapsed="false">
      <c r="A40" s="5" t="s">
        <v>306</v>
      </c>
    </row>
    <row r="41" customFormat="false" ht="15" hidden="false" customHeight="false" outlineLevel="0" collapsed="false">
      <c r="A41" s="14" t="s">
        <v>242</v>
      </c>
      <c r="B41" s="14" t="s">
        <v>132</v>
      </c>
      <c r="C41" s="14" t="s">
        <v>137</v>
      </c>
      <c r="D41" s="14" t="s">
        <v>141</v>
      </c>
      <c r="E41" s="14" t="s">
        <v>144</v>
      </c>
      <c r="F41" s="14"/>
      <c r="G41" s="14"/>
      <c r="H41" s="14" t="s">
        <v>213</v>
      </c>
    </row>
    <row r="42" customFormat="false" ht="15" hidden="false" customHeight="false" outlineLevel="0" collapsed="false">
      <c r="A42" s="3" t="s">
        <v>243</v>
      </c>
      <c r="B42" s="33" t="n">
        <f aca="false">'Inputs - Common'!B18</f>
        <v>400000</v>
      </c>
      <c r="C42" s="33" t="n">
        <f aca="false">'Inputs - Common'!B19</f>
        <v>1000000</v>
      </c>
      <c r="D42" s="33" t="n">
        <f aca="false">'Inputs - Common'!B20</f>
        <v>1500000</v>
      </c>
      <c r="E42" s="33" t="n">
        <f aca="false">'Inputs - Common'!B21</f>
        <v>4000000</v>
      </c>
      <c r="F42" s="3"/>
      <c r="G42" s="3"/>
      <c r="H42" s="3" t="s">
        <v>244</v>
      </c>
    </row>
    <row r="43" customFormat="false" ht="15" hidden="false" customHeight="false" outlineLevel="0" collapsed="false">
      <c r="A43" s="3" t="s">
        <v>245</v>
      </c>
      <c r="B43" s="10" t="str">
        <f aca="false">'Inputs - Common'!D18</f>
        <v>N</v>
      </c>
      <c r="C43" s="10" t="str">
        <f aca="false">'Inputs - Common'!D19</f>
        <v>Y</v>
      </c>
      <c r="D43" s="10" t="str">
        <f aca="false">'Inputs - Common'!D20</f>
        <v>Y</v>
      </c>
      <c r="E43" s="10" t="str">
        <f aca="false">'Inputs - Common'!D21</f>
        <v>Y</v>
      </c>
      <c r="F43" s="3"/>
      <c r="G43" s="3"/>
      <c r="H43" s="3" t="s">
        <v>244</v>
      </c>
    </row>
    <row r="44" customFormat="false" ht="15" hidden="false" customHeight="false" outlineLevel="0" collapsed="false">
      <c r="A44" s="3" t="s">
        <v>285</v>
      </c>
      <c r="B44" s="34" t="n">
        <f aca="false">IF(SF_Price&gt;0,B42/SF_Price,0)</f>
        <v>114285.714285714</v>
      </c>
      <c r="C44" s="34" t="n">
        <f aca="false">IF(SF_Price&gt;0,C42/SF_Price,0)</f>
        <v>285714.285714286</v>
      </c>
      <c r="D44" s="34" t="n">
        <f aca="false">IF(SF_Price&gt;0,D42/SF_Price,0)</f>
        <v>428571.428571429</v>
      </c>
      <c r="E44" s="34" t="n">
        <f aca="false">IF(SF_Price&gt;0,E42/SF_Price,0)</f>
        <v>1142857.14285714</v>
      </c>
      <c r="F44" s="3"/>
      <c r="G44" s="3"/>
      <c r="H44" s="3" t="s">
        <v>286</v>
      </c>
    </row>
    <row r="45" customFormat="false" ht="15" hidden="false" customHeight="false" outlineLevel="0" collapsed="false">
      <c r="A45" s="3" t="s">
        <v>287</v>
      </c>
      <c r="B45" s="34" t="n">
        <f aca="false">B44*$C$6</f>
        <v>68571.4285714286</v>
      </c>
      <c r="C45" s="34" t="n">
        <f aca="false">C44*$C$6</f>
        <v>171428.571428571</v>
      </c>
      <c r="D45" s="34" t="n">
        <f aca="false">D44*$C$6</f>
        <v>257142.857142857</v>
      </c>
      <c r="E45" s="34" t="n">
        <f aca="false">E44*$C$6</f>
        <v>685714.285714286</v>
      </c>
      <c r="F45" s="3"/>
      <c r="G45" s="3"/>
      <c r="H45" s="3" t="s">
        <v>288</v>
      </c>
    </row>
    <row r="46" customFormat="false" ht="15" hidden="false" customHeight="false" outlineLevel="0" collapsed="false">
      <c r="A46" s="3" t="s">
        <v>289</v>
      </c>
      <c r="B46" s="34" t="n">
        <f aca="false">B45*$C$7</f>
        <v>342857.142857143</v>
      </c>
      <c r="C46" s="34" t="n">
        <f aca="false">C45*$C$7</f>
        <v>857142.857142857</v>
      </c>
      <c r="D46" s="34" t="n">
        <f aca="false">D45*$C$7</f>
        <v>1285714.28571429</v>
      </c>
      <c r="E46" s="34" t="n">
        <f aca="false">E45*$C$7</f>
        <v>3428571.42857143</v>
      </c>
      <c r="F46" s="3"/>
      <c r="G46" s="3"/>
      <c r="H46" s="3" t="s">
        <v>290</v>
      </c>
    </row>
    <row r="47" customFormat="false" ht="15" hidden="false" customHeight="false" outlineLevel="0" collapsed="false">
      <c r="A47" s="3" t="s">
        <v>291</v>
      </c>
      <c r="B47" s="34" t="n">
        <f aca="false">IF($C$8&gt;0,B46/$C$8,0)</f>
        <v>489795.918367347</v>
      </c>
      <c r="C47" s="34" t="n">
        <f aca="false">IF($C$8&gt;0,C46/$C$8,0)</f>
        <v>1224489.79591837</v>
      </c>
      <c r="D47" s="34" t="n">
        <f aca="false">IF($C$8&gt;0,D46/$C$8,0)</f>
        <v>1836734.69387755</v>
      </c>
      <c r="E47" s="34" t="n">
        <f aca="false">IF($C$8&gt;0,E46/$C$8,0)</f>
        <v>4897959.18367347</v>
      </c>
      <c r="F47" s="3"/>
      <c r="G47" s="3"/>
      <c r="H47" s="3" t="s">
        <v>292</v>
      </c>
    </row>
    <row r="48" customFormat="false" ht="15" hidden="false" customHeight="false" outlineLevel="0" collapsed="false">
      <c r="A48" s="3" t="s">
        <v>293</v>
      </c>
      <c r="B48" s="34" t="n">
        <f aca="false">IF(Hours_Per_Year&gt;0,B47/Hours_Per_Year,0)</f>
        <v>55.9127760693318</v>
      </c>
      <c r="C48" s="34" t="n">
        <f aca="false">IF(Hours_Per_Year&gt;0,C47/Hours_Per_Year,0)</f>
        <v>139.78194017333</v>
      </c>
      <c r="D48" s="34" t="n">
        <f aca="false">IF(Hours_Per_Year&gt;0,D47/Hours_Per_Year,0)</f>
        <v>209.672910259994</v>
      </c>
      <c r="E48" s="34" t="n">
        <f aca="false">IF(Hours_Per_Year&gt;0,E47/Hours_Per_Year,0)</f>
        <v>559.127760693319</v>
      </c>
      <c r="F48" s="3"/>
      <c r="G48" s="3"/>
      <c r="H48" s="3" t="s">
        <v>294</v>
      </c>
    </row>
    <row r="49" customFormat="false" ht="23.85" hidden="false" customHeight="false" outlineLevel="0" collapsed="false">
      <c r="A49" s="3" t="s">
        <v>295</v>
      </c>
      <c r="B49" s="9" t="str">
        <f aca="false">IF(B48&gt;Res_Max_DPU,"YES","No")</f>
        <v>No</v>
      </c>
      <c r="C49" s="9" t="str">
        <f aca="false">IF(C48&gt;Res_Max_DPU,"YES","No")</f>
        <v>No</v>
      </c>
      <c r="D49" s="9" t="str">
        <f aca="false">IF(D48&gt;Res_Max_DPU,"YES","No")</f>
        <v>No</v>
      </c>
      <c r="E49" s="9" t="str">
        <f aca="false">IF(E48&gt;Res_Max_DPU,"YES","No")</f>
        <v>No</v>
      </c>
      <c r="F49" s="3"/>
      <c r="G49" s="3"/>
      <c r="H49" s="3" t="s">
        <v>296</v>
      </c>
    </row>
    <row r="50" customFormat="false" ht="15" hidden="false" customHeight="false" outlineLevel="0" collapsed="false">
      <c r="A50" s="3" t="s">
        <v>297</v>
      </c>
      <c r="B50" s="28" t="n">
        <f aca="false">B47*Athena_DPU_Price</f>
        <v>146938.775510204</v>
      </c>
      <c r="C50" s="28" t="n">
        <f aca="false">C47*Athena_DPU_Price</f>
        <v>367346.93877551</v>
      </c>
      <c r="D50" s="28" t="n">
        <f aca="false">D47*Athena_DPU_Price</f>
        <v>551020.408163265</v>
      </c>
      <c r="E50" s="28" t="n">
        <f aca="false">E47*Athena_DPU_Price</f>
        <v>1469387.75510204</v>
      </c>
      <c r="F50" s="3"/>
      <c r="G50" s="3"/>
      <c r="H50" s="3" t="s">
        <v>298</v>
      </c>
    </row>
    <row r="51" customFormat="false" ht="15" hidden="false" customHeight="false" outlineLevel="0" collapsed="false">
      <c r="A51" s="3" t="s">
        <v>299</v>
      </c>
      <c r="B51" s="34" t="n">
        <f aca="false">IF(Res_Ref_S&gt;0,K_Ratio*B42/Res_Ref_S,0)</f>
        <v>36666.6666666667</v>
      </c>
      <c r="C51" s="34" t="n">
        <f aca="false">IF(Res_Ref_S&gt;0,K_Ratio*C42/Res_Ref_S,0)</f>
        <v>91666.6666666667</v>
      </c>
      <c r="D51" s="34" t="n">
        <f aca="false">IF(Res_Ref_S&gt;0,K_Ratio*D42/Res_Ref_S,0)</f>
        <v>137500</v>
      </c>
      <c r="E51" s="34" t="n">
        <f aca="false">IF(Res_Ref_S&gt;0,K_Ratio*E42/Res_Ref_S,0)</f>
        <v>366666.666666667</v>
      </c>
      <c r="F51" s="3"/>
      <c r="G51" s="3"/>
      <c r="H51" s="3" t="s">
        <v>300</v>
      </c>
    </row>
    <row r="52" customFormat="false" ht="15" hidden="false" customHeight="false" outlineLevel="0" collapsed="false">
      <c r="A52" s="3" t="s">
        <v>301</v>
      </c>
      <c r="B52" s="28" t="n">
        <f aca="false">B51*S3_Overhead_per_TB</f>
        <v>18333.3333333333</v>
      </c>
      <c r="C52" s="28" t="n">
        <f aca="false">C51*S3_Overhead_per_TB</f>
        <v>45833.3333333333</v>
      </c>
      <c r="D52" s="28" t="n">
        <f aca="false">D51*S3_Overhead_per_TB</f>
        <v>68750</v>
      </c>
      <c r="E52" s="28" t="n">
        <f aca="false">E51*S3_Overhead_per_TB</f>
        <v>183333.333333333</v>
      </c>
      <c r="F52" s="3"/>
      <c r="G52" s="3"/>
      <c r="H52" s="3" t="s">
        <v>302</v>
      </c>
    </row>
    <row r="53" customFormat="false" ht="15" hidden="false" customHeight="false" outlineLevel="0" collapsed="false">
      <c r="A53" s="3" t="s">
        <v>303</v>
      </c>
      <c r="B53" s="28" t="n">
        <f aca="false">B50+B52</f>
        <v>165272.108843537</v>
      </c>
      <c r="C53" s="28" t="n">
        <f aca="false">C50+C52</f>
        <v>413180.272108844</v>
      </c>
      <c r="D53" s="28" t="n">
        <f aca="false">D50+D52</f>
        <v>619770.408163265</v>
      </c>
      <c r="E53" s="28" t="n">
        <f aca="false">E50+E52</f>
        <v>1652721.08843537</v>
      </c>
      <c r="F53" s="3"/>
      <c r="G53" s="3"/>
      <c r="H53" s="3" t="s">
        <v>304</v>
      </c>
    </row>
    <row r="54" customFormat="false" ht="15" hidden="false" customHeight="false" outlineLevel="0" collapsed="false">
      <c r="A54" s="3" t="s">
        <v>253</v>
      </c>
      <c r="B54" s="28" t="n">
        <f aca="false">B42-B53</f>
        <v>234727.891156463</v>
      </c>
      <c r="C54" s="28" t="n">
        <f aca="false">C42-C53</f>
        <v>586819.727891156</v>
      </c>
      <c r="D54" s="28" t="n">
        <f aca="false">D42-D53</f>
        <v>880229.591836735</v>
      </c>
      <c r="E54" s="28" t="n">
        <f aca="false">E42-E53</f>
        <v>2347278.91156463</v>
      </c>
      <c r="F54" s="3"/>
      <c r="G54" s="3"/>
      <c r="H54" s="3" t="s">
        <v>254</v>
      </c>
    </row>
    <row r="55" customFormat="false" ht="15" hidden="false" customHeight="false" outlineLevel="0" collapsed="false">
      <c r="A55" s="3" t="s">
        <v>255</v>
      </c>
      <c r="B55" s="28" t="n">
        <f aca="false">B50*Maint_Pct</f>
        <v>14693.8775510204</v>
      </c>
      <c r="C55" s="28" t="n">
        <f aca="false">C50*Maint_Pct</f>
        <v>36734.693877551</v>
      </c>
      <c r="D55" s="28" t="n">
        <f aca="false">D50*Maint_Pct</f>
        <v>55102.0408163265</v>
      </c>
      <c r="E55" s="28" t="n">
        <f aca="false">E50*Maint_Pct</f>
        <v>146938.775510204</v>
      </c>
      <c r="F55" s="3"/>
      <c r="G55" s="3"/>
      <c r="H55" s="3" t="s">
        <v>305</v>
      </c>
    </row>
    <row r="56" customFormat="false" ht="15" hidden="false" customHeight="false" outlineLevel="0" collapsed="false">
      <c r="A56" s="3" t="s">
        <v>257</v>
      </c>
      <c r="B56" s="28" t="n">
        <f aca="false">Refresh_Offset</f>
        <v>20000</v>
      </c>
      <c r="C56" s="28" t="n">
        <f aca="false">Refresh_Offset</f>
        <v>20000</v>
      </c>
      <c r="D56" s="28" t="n">
        <f aca="false">Refresh_Offset</f>
        <v>20000</v>
      </c>
      <c r="E56" s="28" t="n">
        <f aca="false">Refresh_Offset</f>
        <v>20000</v>
      </c>
      <c r="F56" s="3"/>
      <c r="G56" s="3"/>
      <c r="H56" s="3" t="s">
        <v>258</v>
      </c>
    </row>
    <row r="57" customFormat="false" ht="15" hidden="false" customHeight="false" outlineLevel="0" collapsed="false">
      <c r="A57" s="3" t="s">
        <v>261</v>
      </c>
      <c r="B57" s="28" t="n">
        <f aca="false">'Inputs - Common'!C18*FTE_Cost</f>
        <v>150000</v>
      </c>
      <c r="C57" s="28" t="n">
        <f aca="false">'Inputs - Common'!C19*FTE_Cost</f>
        <v>200000</v>
      </c>
      <c r="D57" s="28" t="n">
        <f aca="false">'Inputs - Common'!C20*FTE_Cost</f>
        <v>250000</v>
      </c>
      <c r="E57" s="28" t="n">
        <f aca="false">'Inputs - Common'!C21*FTE_Cost</f>
        <v>400000</v>
      </c>
      <c r="F57" s="3"/>
      <c r="G57" s="3"/>
      <c r="H57" s="3" t="s">
        <v>262</v>
      </c>
    </row>
    <row r="58" customFormat="false" ht="15" hidden="false" customHeight="false" outlineLevel="0" collapsed="false">
      <c r="A58" s="15" t="s">
        <v>47</v>
      </c>
      <c r="B58" s="35" t="n">
        <f aca="false">B54-B55-B56-B57</f>
        <v>50034.0136054422</v>
      </c>
      <c r="C58" s="35" t="n">
        <f aca="false">C54-C55-C56-C57</f>
        <v>330085.034013605</v>
      </c>
      <c r="D58" s="35" t="n">
        <f aca="false">D54-D55-D56-D57</f>
        <v>555127.551020408</v>
      </c>
      <c r="E58" s="35" t="n">
        <f aca="false">E54-E55-E56-E57</f>
        <v>1780340.13605442</v>
      </c>
      <c r="F58" s="3"/>
      <c r="G58" s="3"/>
      <c r="H58" s="3" t="s">
        <v>263</v>
      </c>
    </row>
    <row r="59" customFormat="false" ht="15" hidden="false" customHeight="false" outlineLevel="0" collapsed="false">
      <c r="A59" s="3" t="s">
        <v>264</v>
      </c>
      <c r="B59" s="30" t="n">
        <f aca="false">IF(B42&gt;0,B58/B42,0)</f>
        <v>0.125085034013605</v>
      </c>
      <c r="C59" s="30" t="n">
        <f aca="false">IF(C42&gt;0,C58/C42,0)</f>
        <v>0.330085034013605</v>
      </c>
      <c r="D59" s="30" t="n">
        <f aca="false">IF(D42&gt;0,D58/D42,0)</f>
        <v>0.370085034013605</v>
      </c>
      <c r="E59" s="30" t="n">
        <f aca="false">IF(E42&gt;0,E58/E42,0)</f>
        <v>0.445085034013605</v>
      </c>
      <c r="F59" s="3"/>
      <c r="G59" s="3"/>
      <c r="H59" s="3" t="s">
        <v>265</v>
      </c>
    </row>
    <row r="62" customFormat="false" ht="15" hidden="false" customHeight="false" outlineLevel="0" collapsed="false">
      <c r="A62" s="5" t="s">
        <v>307</v>
      </c>
    </row>
    <row r="63" customFormat="false" ht="15" hidden="false" customHeight="false" outlineLevel="0" collapsed="false">
      <c r="A63" s="14" t="s">
        <v>242</v>
      </c>
      <c r="B63" s="14" t="s">
        <v>132</v>
      </c>
      <c r="C63" s="14" t="s">
        <v>137</v>
      </c>
      <c r="D63" s="14" t="s">
        <v>141</v>
      </c>
      <c r="E63" s="14" t="s">
        <v>144</v>
      </c>
      <c r="F63" s="14"/>
      <c r="G63" s="14"/>
      <c r="H63" s="14" t="s">
        <v>213</v>
      </c>
    </row>
    <row r="64" customFormat="false" ht="15" hidden="false" customHeight="false" outlineLevel="0" collapsed="false">
      <c r="A64" s="3" t="s">
        <v>243</v>
      </c>
      <c r="B64" s="33" t="n">
        <f aca="false">'Inputs - Common'!B18</f>
        <v>400000</v>
      </c>
      <c r="C64" s="33" t="n">
        <f aca="false">'Inputs - Common'!B19</f>
        <v>1000000</v>
      </c>
      <c r="D64" s="33" t="n">
        <f aca="false">'Inputs - Common'!B20</f>
        <v>1500000</v>
      </c>
      <c r="E64" s="33" t="n">
        <f aca="false">'Inputs - Common'!B21</f>
        <v>4000000</v>
      </c>
      <c r="F64" s="3"/>
      <c r="G64" s="3"/>
      <c r="H64" s="3" t="s">
        <v>244</v>
      </c>
    </row>
    <row r="65" customFormat="false" ht="15" hidden="false" customHeight="false" outlineLevel="0" collapsed="false">
      <c r="A65" s="3" t="s">
        <v>245</v>
      </c>
      <c r="B65" s="10" t="str">
        <f aca="false">'Inputs - Common'!D18</f>
        <v>N</v>
      </c>
      <c r="C65" s="10" t="str">
        <f aca="false">'Inputs - Common'!D19</f>
        <v>Y</v>
      </c>
      <c r="D65" s="10" t="str">
        <f aca="false">'Inputs - Common'!D20</f>
        <v>Y</v>
      </c>
      <c r="E65" s="10" t="str">
        <f aca="false">'Inputs - Common'!D21</f>
        <v>Y</v>
      </c>
      <c r="F65" s="3"/>
      <c r="G65" s="3"/>
      <c r="H65" s="3" t="s">
        <v>244</v>
      </c>
    </row>
    <row r="66" customFormat="false" ht="15" hidden="false" customHeight="false" outlineLevel="0" collapsed="false">
      <c r="A66" s="3" t="s">
        <v>285</v>
      </c>
      <c r="B66" s="34" t="n">
        <f aca="false">IF(SF_Price&gt;0,B64/SF_Price,0)</f>
        <v>114285.714285714</v>
      </c>
      <c r="C66" s="34" t="n">
        <f aca="false">IF(SF_Price&gt;0,C64/SF_Price,0)</f>
        <v>285714.285714286</v>
      </c>
      <c r="D66" s="34" t="n">
        <f aca="false">IF(SF_Price&gt;0,D64/SF_Price,0)</f>
        <v>428571.428571429</v>
      </c>
      <c r="E66" s="34" t="n">
        <f aca="false">IF(SF_Price&gt;0,E64/SF_Price,0)</f>
        <v>1142857.14285714</v>
      </c>
      <c r="F66" s="3"/>
      <c r="G66" s="3"/>
      <c r="H66" s="3" t="s">
        <v>286</v>
      </c>
    </row>
    <row r="67" customFormat="false" ht="15" hidden="false" customHeight="false" outlineLevel="0" collapsed="false">
      <c r="A67" s="3" t="s">
        <v>287</v>
      </c>
      <c r="B67" s="34" t="n">
        <f aca="false">B66*$D$6</f>
        <v>57142.8571428571</v>
      </c>
      <c r="C67" s="34" t="n">
        <f aca="false">C66*$D$6</f>
        <v>142857.142857143</v>
      </c>
      <c r="D67" s="34" t="n">
        <f aca="false">D66*$D$6</f>
        <v>214285.714285714</v>
      </c>
      <c r="E67" s="34" t="n">
        <f aca="false">E66*$D$6</f>
        <v>571428.571428572</v>
      </c>
      <c r="F67" s="3"/>
      <c r="G67" s="3"/>
      <c r="H67" s="3" t="s">
        <v>288</v>
      </c>
    </row>
    <row r="68" customFormat="false" ht="15" hidden="false" customHeight="false" outlineLevel="0" collapsed="false">
      <c r="A68" s="3" t="s">
        <v>289</v>
      </c>
      <c r="B68" s="34" t="n">
        <f aca="false">B67*$D$7</f>
        <v>171428.571428571</v>
      </c>
      <c r="C68" s="34" t="n">
        <f aca="false">C67*$D$7</f>
        <v>428571.428571429</v>
      </c>
      <c r="D68" s="34" t="n">
        <f aca="false">D67*$D$7</f>
        <v>642857.142857143</v>
      </c>
      <c r="E68" s="34" t="n">
        <f aca="false">E67*$D$7</f>
        <v>1714285.71428571</v>
      </c>
      <c r="F68" s="3"/>
      <c r="G68" s="3"/>
      <c r="H68" s="3" t="s">
        <v>290</v>
      </c>
    </row>
    <row r="69" customFormat="false" ht="15" hidden="false" customHeight="false" outlineLevel="0" collapsed="false">
      <c r="A69" s="3" t="s">
        <v>291</v>
      </c>
      <c r="B69" s="34" t="n">
        <f aca="false">IF($D$8&gt;0,B68/$D$8,0)</f>
        <v>214285.714285714</v>
      </c>
      <c r="C69" s="34" t="n">
        <f aca="false">IF($D$8&gt;0,C68/$D$8,0)</f>
        <v>535714.285714286</v>
      </c>
      <c r="D69" s="34" t="n">
        <f aca="false">IF($D$8&gt;0,D68/$D$8,0)</f>
        <v>803571.428571429</v>
      </c>
      <c r="E69" s="34" t="n">
        <f aca="false">IF($D$8&gt;0,E68/$D$8,0)</f>
        <v>2142857.14285714</v>
      </c>
      <c r="F69" s="3"/>
      <c r="G69" s="3"/>
      <c r="H69" s="3" t="s">
        <v>292</v>
      </c>
    </row>
    <row r="70" customFormat="false" ht="15" hidden="false" customHeight="false" outlineLevel="0" collapsed="false">
      <c r="A70" s="3" t="s">
        <v>293</v>
      </c>
      <c r="B70" s="34" t="n">
        <f aca="false">IF(Hours_Per_Year&gt;0,B69/Hours_Per_Year,0)</f>
        <v>24.4618395303327</v>
      </c>
      <c r="C70" s="34" t="n">
        <f aca="false">IF(Hours_Per_Year&gt;0,C69/Hours_Per_Year,0)</f>
        <v>61.1545988258317</v>
      </c>
      <c r="D70" s="34" t="n">
        <f aca="false">IF(Hours_Per_Year&gt;0,D69/Hours_Per_Year,0)</f>
        <v>91.7318982387476</v>
      </c>
      <c r="E70" s="34" t="n">
        <f aca="false">IF(Hours_Per_Year&gt;0,E69/Hours_Per_Year,0)</f>
        <v>244.618395303327</v>
      </c>
      <c r="F70" s="3"/>
      <c r="G70" s="3"/>
      <c r="H70" s="3" t="s">
        <v>294</v>
      </c>
    </row>
    <row r="71" customFormat="false" ht="23.85" hidden="false" customHeight="false" outlineLevel="0" collapsed="false">
      <c r="A71" s="3" t="s">
        <v>295</v>
      </c>
      <c r="B71" s="9" t="str">
        <f aca="false">IF(B70&gt;Res_Max_DPU,"YES","No")</f>
        <v>No</v>
      </c>
      <c r="C71" s="9" t="str">
        <f aca="false">IF(C70&gt;Res_Max_DPU,"YES","No")</f>
        <v>No</v>
      </c>
      <c r="D71" s="9" t="str">
        <f aca="false">IF(D70&gt;Res_Max_DPU,"YES","No")</f>
        <v>No</v>
      </c>
      <c r="E71" s="9" t="str">
        <f aca="false">IF(E70&gt;Res_Max_DPU,"YES","No")</f>
        <v>No</v>
      </c>
      <c r="F71" s="3"/>
      <c r="G71" s="3"/>
      <c r="H71" s="3" t="s">
        <v>296</v>
      </c>
    </row>
    <row r="72" customFormat="false" ht="15" hidden="false" customHeight="false" outlineLevel="0" collapsed="false">
      <c r="A72" s="3" t="s">
        <v>297</v>
      </c>
      <c r="B72" s="28" t="n">
        <f aca="false">B69*Athena_DPU_Price</f>
        <v>64285.7142857143</v>
      </c>
      <c r="C72" s="28" t="n">
        <f aca="false">C69*Athena_DPU_Price</f>
        <v>160714.285714286</v>
      </c>
      <c r="D72" s="28" t="n">
        <f aca="false">D69*Athena_DPU_Price</f>
        <v>241071.428571429</v>
      </c>
      <c r="E72" s="28" t="n">
        <f aca="false">E69*Athena_DPU_Price</f>
        <v>642857.142857143</v>
      </c>
      <c r="F72" s="3"/>
      <c r="G72" s="3"/>
      <c r="H72" s="3" t="s">
        <v>298</v>
      </c>
    </row>
    <row r="73" customFormat="false" ht="15" hidden="false" customHeight="false" outlineLevel="0" collapsed="false">
      <c r="A73" s="3" t="s">
        <v>299</v>
      </c>
      <c r="B73" s="34" t="n">
        <f aca="false">IF(Res_Ref_S&gt;0,K_Ratio*B64/Res_Ref_S,0)</f>
        <v>36666.6666666667</v>
      </c>
      <c r="C73" s="34" t="n">
        <f aca="false">IF(Res_Ref_S&gt;0,K_Ratio*C64/Res_Ref_S,0)</f>
        <v>91666.6666666667</v>
      </c>
      <c r="D73" s="34" t="n">
        <f aca="false">IF(Res_Ref_S&gt;0,K_Ratio*D64/Res_Ref_S,0)</f>
        <v>137500</v>
      </c>
      <c r="E73" s="34" t="n">
        <f aca="false">IF(Res_Ref_S&gt;0,K_Ratio*E64/Res_Ref_S,0)</f>
        <v>366666.666666667</v>
      </c>
      <c r="F73" s="3"/>
      <c r="G73" s="3"/>
      <c r="H73" s="3" t="s">
        <v>300</v>
      </c>
    </row>
    <row r="74" customFormat="false" ht="15" hidden="false" customHeight="false" outlineLevel="0" collapsed="false">
      <c r="A74" s="3" t="s">
        <v>301</v>
      </c>
      <c r="B74" s="28" t="n">
        <f aca="false">B73*S3_Overhead_per_TB</f>
        <v>18333.3333333333</v>
      </c>
      <c r="C74" s="28" t="n">
        <f aca="false">C73*S3_Overhead_per_TB</f>
        <v>45833.3333333333</v>
      </c>
      <c r="D74" s="28" t="n">
        <f aca="false">D73*S3_Overhead_per_TB</f>
        <v>68750</v>
      </c>
      <c r="E74" s="28" t="n">
        <f aca="false">E73*S3_Overhead_per_TB</f>
        <v>183333.333333333</v>
      </c>
      <c r="F74" s="3"/>
      <c r="G74" s="3"/>
      <c r="H74" s="3" t="s">
        <v>302</v>
      </c>
    </row>
    <row r="75" customFormat="false" ht="15" hidden="false" customHeight="false" outlineLevel="0" collapsed="false">
      <c r="A75" s="3" t="s">
        <v>303</v>
      </c>
      <c r="B75" s="28" t="n">
        <f aca="false">B72+B74</f>
        <v>82619.0476190476</v>
      </c>
      <c r="C75" s="28" t="n">
        <f aca="false">C72+C74</f>
        <v>206547.619047619</v>
      </c>
      <c r="D75" s="28" t="n">
        <f aca="false">D72+D74</f>
        <v>309821.428571429</v>
      </c>
      <c r="E75" s="28" t="n">
        <f aca="false">E72+E74</f>
        <v>826190.476190476</v>
      </c>
      <c r="F75" s="3"/>
      <c r="G75" s="3"/>
      <c r="H75" s="3" t="s">
        <v>304</v>
      </c>
    </row>
    <row r="76" customFormat="false" ht="15" hidden="false" customHeight="false" outlineLevel="0" collapsed="false">
      <c r="A76" s="3" t="s">
        <v>253</v>
      </c>
      <c r="B76" s="28" t="n">
        <f aca="false">B64-B75</f>
        <v>317380.952380952</v>
      </c>
      <c r="C76" s="28" t="n">
        <f aca="false">C64-C75</f>
        <v>793452.380952381</v>
      </c>
      <c r="D76" s="28" t="n">
        <f aca="false">D64-D75</f>
        <v>1190178.57142857</v>
      </c>
      <c r="E76" s="28" t="n">
        <f aca="false">E64-E75</f>
        <v>3173809.52380952</v>
      </c>
      <c r="F76" s="3"/>
      <c r="G76" s="3"/>
      <c r="H76" s="3" t="s">
        <v>254</v>
      </c>
    </row>
    <row r="77" customFormat="false" ht="15" hidden="false" customHeight="false" outlineLevel="0" collapsed="false">
      <c r="A77" s="3" t="s">
        <v>255</v>
      </c>
      <c r="B77" s="28" t="n">
        <f aca="false">B72*Maint_Pct</f>
        <v>6428.57142857143</v>
      </c>
      <c r="C77" s="28" t="n">
        <f aca="false">C72*Maint_Pct</f>
        <v>16071.4285714286</v>
      </c>
      <c r="D77" s="28" t="n">
        <f aca="false">D72*Maint_Pct</f>
        <v>24107.1428571429</v>
      </c>
      <c r="E77" s="28" t="n">
        <f aca="false">E72*Maint_Pct</f>
        <v>64285.7142857143</v>
      </c>
      <c r="F77" s="3"/>
      <c r="G77" s="3"/>
      <c r="H77" s="3" t="s">
        <v>305</v>
      </c>
    </row>
    <row r="78" customFormat="false" ht="15" hidden="false" customHeight="false" outlineLevel="0" collapsed="false">
      <c r="A78" s="3" t="s">
        <v>257</v>
      </c>
      <c r="B78" s="28" t="n">
        <f aca="false">Refresh_Offset</f>
        <v>20000</v>
      </c>
      <c r="C78" s="28" t="n">
        <f aca="false">Refresh_Offset</f>
        <v>20000</v>
      </c>
      <c r="D78" s="28" t="n">
        <f aca="false">Refresh_Offset</f>
        <v>20000</v>
      </c>
      <c r="E78" s="28" t="n">
        <f aca="false">Refresh_Offset</f>
        <v>20000</v>
      </c>
      <c r="F78" s="3"/>
      <c r="G78" s="3"/>
      <c r="H78" s="3" t="s">
        <v>258</v>
      </c>
    </row>
    <row r="79" customFormat="false" ht="15" hidden="false" customHeight="false" outlineLevel="0" collapsed="false">
      <c r="A79" s="3" t="s">
        <v>261</v>
      </c>
      <c r="B79" s="28" t="n">
        <f aca="false">'Inputs - Common'!C18*FTE_Cost</f>
        <v>150000</v>
      </c>
      <c r="C79" s="28" t="n">
        <f aca="false">'Inputs - Common'!C19*FTE_Cost</f>
        <v>200000</v>
      </c>
      <c r="D79" s="28" t="n">
        <f aca="false">'Inputs - Common'!C20*FTE_Cost</f>
        <v>250000</v>
      </c>
      <c r="E79" s="28" t="n">
        <f aca="false">'Inputs - Common'!C21*FTE_Cost</f>
        <v>400000</v>
      </c>
      <c r="F79" s="3"/>
      <c r="G79" s="3"/>
      <c r="H79" s="3" t="s">
        <v>262</v>
      </c>
    </row>
    <row r="80" customFormat="false" ht="15" hidden="false" customHeight="false" outlineLevel="0" collapsed="false">
      <c r="A80" s="15" t="s">
        <v>47</v>
      </c>
      <c r="B80" s="35" t="n">
        <f aca="false">B76-B77-B78-B79</f>
        <v>140952.380952381</v>
      </c>
      <c r="C80" s="35" t="n">
        <f aca="false">C76-C77-C78-C79</f>
        <v>557380.952380952</v>
      </c>
      <c r="D80" s="35" t="n">
        <f aca="false">D76-D77-D78-D79</f>
        <v>896071.428571428</v>
      </c>
      <c r="E80" s="35" t="n">
        <f aca="false">E76-E77-E78-E79</f>
        <v>2689523.80952381</v>
      </c>
      <c r="F80" s="3"/>
      <c r="G80" s="3"/>
      <c r="H80" s="3" t="s">
        <v>263</v>
      </c>
    </row>
    <row r="81" customFormat="false" ht="15" hidden="false" customHeight="false" outlineLevel="0" collapsed="false">
      <c r="A81" s="3" t="s">
        <v>264</v>
      </c>
      <c r="B81" s="30" t="n">
        <f aca="false">IF(B64&gt;0,B80/B64,0)</f>
        <v>0.352380952380953</v>
      </c>
      <c r="C81" s="30" t="n">
        <f aca="false">IF(C64&gt;0,C80/C64,0)</f>
        <v>0.557380952380952</v>
      </c>
      <c r="D81" s="30" t="n">
        <f aca="false">IF(D64&gt;0,D80/D64,0)</f>
        <v>0.597380952380952</v>
      </c>
      <c r="E81" s="30" t="n">
        <f aca="false">IF(E64&gt;0,E80/E64,0)</f>
        <v>0.672380952380952</v>
      </c>
      <c r="F81" s="3"/>
      <c r="G81" s="3"/>
      <c r="H81" s="3" t="s">
        <v>265</v>
      </c>
    </row>
  </sheetData>
  <mergeCells count="67">
    <mergeCell ref="E5:G5"/>
    <mergeCell ref="E6:G6"/>
    <mergeCell ref="E7:G7"/>
    <mergeCell ref="E8:G8"/>
    <mergeCell ref="E9:G9"/>
    <mergeCell ref="E10:G10"/>
    <mergeCell ref="E11:G11"/>
    <mergeCell ref="E12:G12"/>
    <mergeCell ref="C15:G15"/>
    <mergeCell ref="C16:G16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6" min="4" style="0" width="18"/>
    <col collapsed="false" customWidth="true" hidden="false" outlineLevel="0" max="7" min="7" style="0" width="34"/>
  </cols>
  <sheetData>
    <row r="1" customFormat="false" ht="17.35" hidden="false" customHeight="false" outlineLevel="0" collapsed="false">
      <c r="A1" s="1" t="s">
        <v>308</v>
      </c>
    </row>
    <row r="2" customFormat="false" ht="15" hidden="false" customHeight="false" outlineLevel="0" collapsed="false">
      <c r="A2" s="13" t="s">
        <v>309</v>
      </c>
    </row>
    <row r="3" customFormat="false" ht="15" hidden="false" customHeight="true" outlineLevel="0" collapsed="false">
      <c r="A3" s="13" t="s">
        <v>310</v>
      </c>
      <c r="B3" s="4" t="s">
        <v>311</v>
      </c>
      <c r="C3" s="4"/>
    </row>
    <row r="4" customFormat="false" ht="15" hidden="false" customHeight="false" outlineLevel="0" collapsed="false">
      <c r="A4" s="13" t="str">
        <f aca="false">IF(AND(COUNT('Inputs - Common'!B6:B9,'Inputs - Common'!B18:B21,'Inputs - On-Demand'!B6:B7,'Inputs - On-Demand'!B13:D13,'Inputs - Reservations'!B6:B9,'Inputs - Reservations'!B13:D15,'Inputs - Common'!B10:B13,'Inputs - Common'!C18:C21,'Inputs - On-Demand'!B8:B9)=36,MIN('Inputs - Common'!B6:B9,'Inputs - Common'!B18:B21,'Inputs - On-Demand'!B6:B7,'Inputs - On-Demand'!B13:D13,'Inputs - Reservations'!B6:B9,'Inputs - Reservations'!B13:D15)&gt;0,MIN('Inputs - Common'!B10:B13,'Inputs - Common'!C18:C21,'Inputs - On-Demand'!B8:B9)&gt;=0,'Inputs - Common'!B11&lt;=1,MAX('Inputs - Reservations'!B13:D13,'Inputs - Reservations'!B15:D15)&lt;=1,COUNTIF('Inputs - Common'!D18:D21,"Y")+COUNTIF('Inputs - Common'!D18:D21,"N")=4),"Inputs OK","CHECK INPUTS: a zero, blank, text or out-of-range input makes these results meaningless")</f>
        <v>Inputs OK</v>
      </c>
    </row>
    <row r="5" customFormat="false" ht="15" hidden="false" customHeight="false" outlineLevel="0" collapsed="false">
      <c r="A5" s="5" t="s">
        <v>312</v>
      </c>
      <c r="G5" s="4" t="s">
        <v>49</v>
      </c>
    </row>
    <row r="6" customFormat="false" ht="15" hidden="false" customHeight="false" outlineLevel="0" collapsed="false">
      <c r="A6" s="13" t="s">
        <v>313</v>
      </c>
    </row>
    <row r="7" customFormat="false" ht="15" hidden="false" customHeight="false" outlineLevel="0" collapsed="false">
      <c r="A7" s="14" t="s">
        <v>128</v>
      </c>
      <c r="B7" s="14" t="s">
        <v>314</v>
      </c>
      <c r="C7" s="14" t="s">
        <v>315</v>
      </c>
      <c r="D7" s="14" t="s">
        <v>175</v>
      </c>
      <c r="E7" s="14" t="s">
        <v>176</v>
      </c>
      <c r="F7" s="14" t="s">
        <v>177</v>
      </c>
    </row>
    <row r="8" customFormat="false" ht="15" hidden="false" customHeight="false" outlineLevel="0" collapsed="false">
      <c r="A8" s="31" t="str">
        <f aca="false">'Inputs - Common'!A18</f>
        <v>B1</v>
      </c>
      <c r="B8" s="40" t="n">
        <f aca="false">'Inputs - Common'!B18</f>
        <v>400000</v>
      </c>
      <c r="C8" s="10" t="str">
        <f aca="false">'Inputs - Common'!D18</f>
        <v>N</v>
      </c>
      <c r="D8" s="41" t="n">
        <f aca="false">'Calc - On-Demand'!B40</f>
        <v>-70210.5263157895</v>
      </c>
      <c r="E8" s="41" t="n">
        <f aca="false">'Calc - On-Demand'!B57</f>
        <v>-11833.3333333334</v>
      </c>
      <c r="F8" s="41" t="n">
        <f aca="false">'Calc - On-Demand'!B74</f>
        <v>32533.3333333333</v>
      </c>
    </row>
    <row r="9" customFormat="false" ht="15" hidden="false" customHeight="false" outlineLevel="0" collapsed="false">
      <c r="A9" s="31" t="str">
        <f aca="false">'Inputs - Common'!A19</f>
        <v>B2</v>
      </c>
      <c r="B9" s="40" t="n">
        <f aca="false">'Inputs - Common'!B19</f>
        <v>1000000</v>
      </c>
      <c r="C9" s="10" t="str">
        <f aca="false">'Inputs - Common'!D19</f>
        <v>Y</v>
      </c>
      <c r="D9" s="41" t="n">
        <f aca="false">'Calc - On-Demand'!C40</f>
        <v>59473.6842105262</v>
      </c>
      <c r="E9" s="41" t="n">
        <f aca="false">'Calc - On-Demand'!C57</f>
        <v>205416.666666667</v>
      </c>
      <c r="F9" s="41" t="n">
        <f aca="false">'Calc - On-Demand'!C74</f>
        <v>316333.333333333</v>
      </c>
    </row>
    <row r="10" customFormat="false" ht="15" hidden="false" customHeight="false" outlineLevel="0" collapsed="false">
      <c r="A10" s="31" t="str">
        <f aca="false">'Inputs - Common'!A20</f>
        <v>B3</v>
      </c>
      <c r="B10" s="40" t="n">
        <f aca="false">'Inputs - Common'!B20</f>
        <v>1500000</v>
      </c>
      <c r="C10" s="10" t="str">
        <f aca="false">'Inputs - Common'!D20</f>
        <v>Y</v>
      </c>
      <c r="D10" s="41" t="n">
        <f aca="false">'Calc - On-Demand'!D40</f>
        <v>159210.526315789</v>
      </c>
      <c r="E10" s="41" t="n">
        <f aca="false">'Calc - On-Demand'!D57</f>
        <v>378125</v>
      </c>
      <c r="F10" s="41" t="n">
        <f aca="false">'Calc - On-Demand'!D74</f>
        <v>544500</v>
      </c>
    </row>
    <row r="11" customFormat="false" ht="15" hidden="false" customHeight="false" outlineLevel="0" collapsed="false">
      <c r="A11" s="31" t="str">
        <f aca="false">'Inputs - Common'!A21</f>
        <v>B4</v>
      </c>
      <c r="B11" s="40" t="n">
        <f aca="false">'Inputs - Common'!B21</f>
        <v>4000000</v>
      </c>
      <c r="C11" s="10" t="str">
        <f aca="false">'Inputs - Common'!D21</f>
        <v>Y</v>
      </c>
      <c r="D11" s="41" t="n">
        <f aca="false">'Calc - On-Demand'!E40</f>
        <v>757894.736842105</v>
      </c>
      <c r="E11" s="41" t="n">
        <f aca="false">'Calc - On-Demand'!E57</f>
        <v>1341666.66666667</v>
      </c>
      <c r="F11" s="41" t="n">
        <f aca="false">'Calc - On-Demand'!E74</f>
        <v>1785333.33333333</v>
      </c>
    </row>
    <row r="12" customFormat="false" ht="15" hidden="false" customHeight="false" outlineLevel="0" collapsed="false">
      <c r="A12" s="2" t="s">
        <v>316</v>
      </c>
      <c r="B12" s="42"/>
      <c r="C12" s="43" t="s">
        <v>317</v>
      </c>
      <c r="D12" s="44" t="n">
        <f aca="false">IF(COUNTIF($C$8:$C$11,"Y")=0,"n/a",_xlfn.MINIFS(D8:D11,$C$8:$C$11,"Y"))</f>
        <v>59473.6842105262</v>
      </c>
      <c r="E12" s="44" t="n">
        <f aca="false">IF(COUNTIF($C$8:$C$11,"Y")=0,"n/a",_xlfn.MINIFS(E8:E11,$C$8:$C$11,"Y"))</f>
        <v>205416.666666667</v>
      </c>
      <c r="F12" s="44" t="n">
        <f aca="false">IF(COUNTIF($C$8:$C$11,"Y")=0,"n/a",_xlfn.MINIFS(F8:F11,$C$8:$C$11,"Y"))</f>
        <v>316333.333333333</v>
      </c>
    </row>
    <row r="13" customFormat="false" ht="15" hidden="false" customHeight="false" outlineLevel="0" collapsed="false">
      <c r="A13" s="2" t="s">
        <v>318</v>
      </c>
      <c r="B13" s="42"/>
      <c r="C13" s="43" t="s">
        <v>317</v>
      </c>
      <c r="D13" s="44" t="n">
        <f aca="false">IF(COUNTIF($C$8:$C$11,"Y")=0,"n/a",_xlfn.MAXIFS(D8:D11,$C$8:$C$11,"Y"))</f>
        <v>757894.736842105</v>
      </c>
      <c r="E13" s="44" t="n">
        <f aca="false">IF(COUNTIF($C$8:$C$11,"Y")=0,"n/a",_xlfn.MAXIFS(E8:E11,$C$8:$C$11,"Y"))</f>
        <v>1341666.66666667</v>
      </c>
      <c r="F13" s="44" t="n">
        <f aca="false">IF(COUNTIF($C$8:$C$11,"Y")=0,"n/a",_xlfn.MAXIFS(F8:F11,$C$8:$C$11,"Y"))</f>
        <v>1785333.33333333</v>
      </c>
    </row>
    <row r="16" customFormat="false" ht="15" hidden="false" customHeight="false" outlineLevel="0" collapsed="false">
      <c r="A16" s="5" t="s">
        <v>319</v>
      </c>
      <c r="G16" s="4" t="s">
        <v>72</v>
      </c>
    </row>
    <row r="17" customFormat="false" ht="15" hidden="false" customHeight="false" outlineLevel="0" collapsed="false">
      <c r="A17" s="13" t="s">
        <v>320</v>
      </c>
    </row>
    <row r="18" customFormat="false" ht="15" hidden="false" customHeight="false" outlineLevel="0" collapsed="false">
      <c r="A18" s="14" t="s">
        <v>128</v>
      </c>
      <c r="B18" s="14" t="s">
        <v>314</v>
      </c>
      <c r="C18" s="14" t="s">
        <v>315</v>
      </c>
      <c r="D18" s="14" t="s">
        <v>175</v>
      </c>
      <c r="E18" s="14" t="s">
        <v>176</v>
      </c>
      <c r="F18" s="14" t="s">
        <v>177</v>
      </c>
    </row>
    <row r="19" customFormat="false" ht="15" hidden="false" customHeight="false" outlineLevel="0" collapsed="false">
      <c r="A19" s="31" t="str">
        <f aca="false">'Inputs - Common'!A18</f>
        <v>B1</v>
      </c>
      <c r="B19" s="40" t="n">
        <f aca="false">'Inputs - Common'!B18</f>
        <v>400000</v>
      </c>
      <c r="C19" s="10" t="str">
        <f aca="false">'Inputs - Common'!D18</f>
        <v>N</v>
      </c>
      <c r="D19" s="40" t="n">
        <f aca="false">'Calc - On-Demand'!B34</f>
        <v>254736.842105263</v>
      </c>
      <c r="E19" s="40" t="n">
        <f aca="false">'Calc - On-Demand'!B51</f>
        <v>201666.666666667</v>
      </c>
      <c r="F19" s="40" t="n">
        <f aca="false">'Calc - On-Demand'!B68</f>
        <v>161333.333333333</v>
      </c>
    </row>
    <row r="20" customFormat="false" ht="15" hidden="false" customHeight="false" outlineLevel="0" collapsed="false">
      <c r="A20" s="31" t="str">
        <f aca="false">'Inputs - Common'!A19</f>
        <v>B2</v>
      </c>
      <c r="B20" s="40" t="n">
        <f aca="false">'Inputs - Common'!B19</f>
        <v>1000000</v>
      </c>
      <c r="C20" s="10" t="str">
        <f aca="false">'Inputs - Common'!D19</f>
        <v>Y</v>
      </c>
      <c r="D20" s="40" t="n">
        <f aca="false">'Calc - On-Demand'!C34</f>
        <v>636842.105263158</v>
      </c>
      <c r="E20" s="40" t="n">
        <f aca="false">'Calc - On-Demand'!C51</f>
        <v>504166.666666667</v>
      </c>
      <c r="F20" s="40" t="n">
        <f aca="false">'Calc - On-Demand'!C68</f>
        <v>403333.333333333</v>
      </c>
    </row>
    <row r="21" customFormat="false" ht="15" hidden="false" customHeight="false" outlineLevel="0" collapsed="false">
      <c r="A21" s="31" t="str">
        <f aca="false">'Inputs - Common'!A20</f>
        <v>B3</v>
      </c>
      <c r="B21" s="40" t="n">
        <f aca="false">'Inputs - Common'!B20</f>
        <v>1500000</v>
      </c>
      <c r="C21" s="10" t="str">
        <f aca="false">'Inputs - Common'!D20</f>
        <v>Y</v>
      </c>
      <c r="D21" s="40" t="n">
        <f aca="false">'Calc - On-Demand'!D34</f>
        <v>955263.157894737</v>
      </c>
      <c r="E21" s="40" t="n">
        <f aca="false">'Calc - On-Demand'!D51</f>
        <v>756250</v>
      </c>
      <c r="F21" s="40" t="n">
        <f aca="false">'Calc - On-Demand'!D68</f>
        <v>605000</v>
      </c>
    </row>
    <row r="22" customFormat="false" ht="15" hidden="false" customHeight="false" outlineLevel="0" collapsed="false">
      <c r="A22" s="31" t="str">
        <f aca="false">'Inputs - Common'!A21</f>
        <v>B4</v>
      </c>
      <c r="B22" s="40" t="n">
        <f aca="false">'Inputs - Common'!B21</f>
        <v>4000000</v>
      </c>
      <c r="C22" s="10" t="str">
        <f aca="false">'Inputs - Common'!D21</f>
        <v>Y</v>
      </c>
      <c r="D22" s="40" t="n">
        <f aca="false">'Calc - On-Demand'!E34</f>
        <v>2547368.42105263</v>
      </c>
      <c r="E22" s="40" t="n">
        <f aca="false">'Calc - On-Demand'!E51</f>
        <v>2016666.66666667</v>
      </c>
      <c r="F22" s="40" t="n">
        <f aca="false">'Calc - On-Demand'!E68</f>
        <v>1613333.33333333</v>
      </c>
    </row>
    <row r="25" customFormat="false" ht="15" hidden="false" customHeight="false" outlineLevel="0" collapsed="false">
      <c r="A25" s="5" t="s">
        <v>321</v>
      </c>
      <c r="G25" s="4" t="s">
        <v>64</v>
      </c>
    </row>
    <row r="26" customFormat="false" ht="15" hidden="false" customHeight="false" outlineLevel="0" collapsed="false">
      <c r="A26" s="13" t="s">
        <v>322</v>
      </c>
    </row>
    <row r="27" customFormat="false" ht="15" hidden="false" customHeight="true" outlineLevel="0" collapsed="false">
      <c r="A27" s="14" t="s">
        <v>227</v>
      </c>
      <c r="B27" s="14"/>
      <c r="C27" s="14"/>
      <c r="D27" s="14" t="s">
        <v>175</v>
      </c>
      <c r="E27" s="14" t="s">
        <v>176</v>
      </c>
      <c r="F27" s="14" t="s">
        <v>177</v>
      </c>
    </row>
    <row r="28" customFormat="false" ht="15" hidden="false" customHeight="true" outlineLevel="0" collapsed="false">
      <c r="A28" s="15" t="s">
        <v>323</v>
      </c>
      <c r="B28" s="15"/>
      <c r="C28" s="15"/>
      <c r="D28" s="36" t="n">
        <f aca="false">'Calc - On-Demand'!B15</f>
        <v>0.363157894736842</v>
      </c>
      <c r="E28" s="36" t="n">
        <f aca="false">'Calc - On-Demand'!C15</f>
        <v>0.495833333333333</v>
      </c>
      <c r="F28" s="36" t="n">
        <f aca="false">'Calc - On-Demand'!D15</f>
        <v>0.596666666666667</v>
      </c>
    </row>
    <row r="29" customFormat="false" ht="15" hidden="false" customHeight="true" outlineLevel="0" collapsed="false">
      <c r="A29" s="15" t="s">
        <v>324</v>
      </c>
      <c r="B29" s="15"/>
      <c r="C29" s="15"/>
      <c r="D29" s="29" t="n">
        <f aca="false">'Calc - On-Demand'!B14</f>
        <v>9.5</v>
      </c>
      <c r="E29" s="29" t="n">
        <f aca="false">'Calc - On-Demand'!C14</f>
        <v>12</v>
      </c>
      <c r="F29" s="29" t="n">
        <f aca="false">'Calc - On-Demand'!D14</f>
        <v>15</v>
      </c>
    </row>
    <row r="30" customFormat="false" ht="15" hidden="false" customHeight="true" outlineLevel="0" collapsed="false">
      <c r="A30" s="15" t="s">
        <v>325</v>
      </c>
      <c r="B30" s="15"/>
      <c r="C30" s="15"/>
      <c r="D30" s="29" t="n">
        <f aca="false">'Calc - On-Demand'!B7</f>
        <v>6.05</v>
      </c>
      <c r="E30" s="29"/>
      <c r="F30" s="29"/>
    </row>
    <row r="33" customFormat="false" ht="15" hidden="false" customHeight="false" outlineLevel="0" collapsed="false">
      <c r="A33" s="5" t="s">
        <v>326</v>
      </c>
      <c r="G33" s="4" t="s">
        <v>153</v>
      </c>
    </row>
    <row r="34" customFormat="false" ht="15" hidden="false" customHeight="false" outlineLevel="0" collapsed="false">
      <c r="A34" s="13" t="s">
        <v>327</v>
      </c>
    </row>
    <row r="35" customFormat="false" ht="15" hidden="false" customHeight="false" outlineLevel="0" collapsed="false">
      <c r="A35" s="14" t="s">
        <v>148</v>
      </c>
      <c r="B35" s="14" t="s">
        <v>328</v>
      </c>
      <c r="C35" s="14"/>
      <c r="D35" s="14" t="s">
        <v>329</v>
      </c>
      <c r="E35" s="14" t="s">
        <v>330</v>
      </c>
      <c r="F35" s="14" t="s">
        <v>331</v>
      </c>
    </row>
    <row r="36" customFormat="false" ht="15" hidden="false" customHeight="false" outlineLevel="0" collapsed="false">
      <c r="A36" s="31" t="str">
        <f aca="false">'Calc - On-Demand'!A20</f>
        <v>XS</v>
      </c>
      <c r="B36" s="29" t="n">
        <f aca="false">'Calc - On-Demand'!C20</f>
        <v>3.5</v>
      </c>
      <c r="C36" s="3"/>
      <c r="D36" s="37" t="n">
        <f aca="false">'Calc - On-Demand'!D20</f>
        <v>0.7</v>
      </c>
      <c r="E36" s="37" t="n">
        <f aca="false">'Calc - On-Demand'!E20</f>
        <v>0.636363636363636</v>
      </c>
      <c r="F36" s="37" t="n">
        <f aca="false">'Calc - On-Demand'!G20</f>
        <v>0.859090909090909</v>
      </c>
    </row>
    <row r="37" customFormat="false" ht="15" hidden="false" customHeight="false" outlineLevel="0" collapsed="false">
      <c r="A37" s="31" t="str">
        <f aca="false">'Calc - On-Demand'!A21</f>
        <v>S</v>
      </c>
      <c r="B37" s="29" t="n">
        <f aca="false">'Calc - On-Demand'!C21</f>
        <v>7</v>
      </c>
      <c r="C37" s="3"/>
      <c r="D37" s="37" t="n">
        <f aca="false">'Calc - On-Demand'!D21</f>
        <v>1.4</v>
      </c>
      <c r="E37" s="37" t="n">
        <f aca="false">'Calc - On-Demand'!E21</f>
        <v>1.27272727272727</v>
      </c>
      <c r="F37" s="37" t="n">
        <f aca="false">'Calc - On-Demand'!G21</f>
        <v>1.71818181818182</v>
      </c>
    </row>
    <row r="38" customFormat="false" ht="15" hidden="false" customHeight="false" outlineLevel="0" collapsed="false">
      <c r="A38" s="31" t="str">
        <f aca="false">'Calc - On-Demand'!A22</f>
        <v>M</v>
      </c>
      <c r="B38" s="29" t="n">
        <f aca="false">'Calc - On-Demand'!C22</f>
        <v>14</v>
      </c>
      <c r="C38" s="3"/>
      <c r="D38" s="37" t="n">
        <f aca="false">'Calc - On-Demand'!D22</f>
        <v>2.8</v>
      </c>
      <c r="E38" s="37" t="n">
        <f aca="false">'Calc - On-Demand'!E22</f>
        <v>2.54545454545455</v>
      </c>
      <c r="F38" s="37" t="n">
        <f aca="false">'Calc - On-Demand'!G22</f>
        <v>3.43636363636364</v>
      </c>
    </row>
    <row r="39" customFormat="false" ht="15" hidden="false" customHeight="false" outlineLevel="0" collapsed="false">
      <c r="A39" s="31" t="str">
        <f aca="false">'Calc - On-Demand'!A23</f>
        <v>L</v>
      </c>
      <c r="B39" s="29" t="n">
        <f aca="false">'Calc - On-Demand'!C23</f>
        <v>28</v>
      </c>
      <c r="C39" s="3"/>
      <c r="D39" s="37" t="n">
        <f aca="false">'Calc - On-Demand'!D23</f>
        <v>5.6</v>
      </c>
      <c r="E39" s="37" t="n">
        <f aca="false">'Calc - On-Demand'!E23</f>
        <v>5.09090909090909</v>
      </c>
      <c r="F39" s="37" t="n">
        <f aca="false">'Calc - On-Demand'!G23</f>
        <v>6.87272727272727</v>
      </c>
    </row>
    <row r="40" customFormat="false" ht="15" hidden="false" customHeight="false" outlineLevel="0" collapsed="false">
      <c r="A40" s="31" t="str">
        <f aca="false">'Calc - On-Demand'!A24</f>
        <v>XL</v>
      </c>
      <c r="B40" s="29" t="n">
        <f aca="false">'Calc - On-Demand'!C24</f>
        <v>56</v>
      </c>
      <c r="C40" s="3"/>
      <c r="D40" s="37" t="n">
        <f aca="false">'Calc - On-Demand'!D24</f>
        <v>11.2</v>
      </c>
      <c r="E40" s="37" t="n">
        <f aca="false">'Calc - On-Demand'!E24</f>
        <v>10.1818181818182</v>
      </c>
      <c r="F40" s="37" t="n">
        <f aca="false">'Calc - On-Demand'!G24</f>
        <v>13.7454545454545</v>
      </c>
    </row>
    <row r="43" customFormat="false" ht="15" hidden="false" customHeight="false" outlineLevel="0" collapsed="false">
      <c r="A43" s="5" t="s">
        <v>332</v>
      </c>
    </row>
    <row r="44" customFormat="false" ht="27.75" hidden="false" customHeight="true" outlineLevel="0" collapsed="false">
      <c r="A44" s="3" t="s">
        <v>333</v>
      </c>
      <c r="B44" s="3"/>
      <c r="C44" s="3"/>
      <c r="D44" s="3"/>
      <c r="E44" s="3"/>
      <c r="F44" s="3"/>
      <c r="G44" s="4" t="s">
        <v>334</v>
      </c>
    </row>
    <row r="45" customFormat="false" ht="27.75" hidden="false" customHeight="true" outlineLevel="0" collapsed="false">
      <c r="A45" s="3" t="s">
        <v>335</v>
      </c>
      <c r="B45" s="3"/>
      <c r="C45" s="3"/>
      <c r="D45" s="3"/>
      <c r="E45" s="3"/>
      <c r="F45" s="3"/>
      <c r="G45" s="4" t="s">
        <v>334</v>
      </c>
    </row>
    <row r="46" customFormat="false" ht="27.75" hidden="false" customHeight="true" outlineLevel="0" collapsed="false">
      <c r="A46" s="3" t="s">
        <v>336</v>
      </c>
      <c r="B46" s="3"/>
      <c r="C46" s="3"/>
      <c r="D46" s="3"/>
      <c r="E46" s="3"/>
      <c r="F46" s="3"/>
      <c r="G46" s="4" t="s">
        <v>337</v>
      </c>
    </row>
    <row r="47" customFormat="false" ht="27.75" hidden="false" customHeight="true" outlineLevel="0" collapsed="false">
      <c r="A47" s="3" t="s">
        <v>338</v>
      </c>
      <c r="B47" s="3"/>
      <c r="C47" s="3"/>
      <c r="D47" s="3"/>
      <c r="E47" s="3"/>
      <c r="F47" s="3"/>
      <c r="G47" s="4" t="s">
        <v>339</v>
      </c>
    </row>
  </sheetData>
  <mergeCells count="10">
    <mergeCell ref="B3:C3"/>
    <mergeCell ref="A27:C27"/>
    <mergeCell ref="A28:C28"/>
    <mergeCell ref="A29:C29"/>
    <mergeCell ref="A30:C30"/>
    <mergeCell ref="D30:F30"/>
    <mergeCell ref="A44:F44"/>
    <mergeCell ref="A45:F45"/>
    <mergeCell ref="A46:F46"/>
    <mergeCell ref="A47:F47"/>
  </mergeCells>
  <conditionalFormatting sqref="A4">
    <cfRule type="expression" priority="1" dxfId="0">
      <formula>$A$4&lt;&gt;"Inputs OK"</formula>
    </cfRule>
  </conditionalFormatting>
  <hyperlinks>
    <hyperlink ref="B3" r:id="rId1" location="on-demand" display="Doc §6 Analysis A"/>
    <hyperlink ref="G5" r:id="rId2" location="od-results" display="Doc §6.4 Results"/>
    <hyperlink ref="G16" r:id="rId3" location="od-model" display="Doc §6.2 Model"/>
    <hyperlink ref="G25" r:id="rId4" location="od-parameters" display="Doc §6.3 Parameters"/>
    <hyperlink ref="G33" r:id="rId5" location="od-method" display="Doc §6.1 Break-even"/>
    <hyperlink ref="G44" r:id="rId6" location="od-drivers" display="Doc §6.5 Drivers"/>
    <hyperlink ref="G45" r:id="rId7" location="od-drivers" display="Doc §6.5 Drivers"/>
    <hyperlink ref="G46" r:id="rId8" location="calibration" display="Doc §9 Calibration"/>
    <hyperlink ref="G47" r:id="rId9" location="outside-model" display="Doc §8.3 Outside the mode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6" min="4" style="0" width="18"/>
    <col collapsed="false" customWidth="true" hidden="false" outlineLevel="0" max="7" min="7" style="0" width="34"/>
  </cols>
  <sheetData>
    <row r="1" customFormat="false" ht="17.35" hidden="false" customHeight="false" outlineLevel="0" collapsed="false">
      <c r="A1" s="1" t="s">
        <v>340</v>
      </c>
    </row>
    <row r="2" customFormat="false" ht="15" hidden="false" customHeight="false" outlineLevel="0" collapsed="false">
      <c r="A2" s="13" t="s">
        <v>309</v>
      </c>
    </row>
    <row r="3" customFormat="false" ht="15" hidden="false" customHeight="true" outlineLevel="0" collapsed="false">
      <c r="A3" s="13" t="s">
        <v>310</v>
      </c>
      <c r="B3" s="4" t="s">
        <v>341</v>
      </c>
      <c r="C3" s="4"/>
    </row>
    <row r="4" customFormat="false" ht="15" hidden="false" customHeight="false" outlineLevel="0" collapsed="false">
      <c r="A4" s="13" t="str">
        <f aca="false">IF(AND(COUNT('Inputs - Common'!B6:B9,'Inputs - Common'!B18:B21,'Inputs - On-Demand'!B6:B7,'Inputs - On-Demand'!B13:D13,'Inputs - Reservations'!B6:B9,'Inputs - Reservations'!B13:D15,'Inputs - Common'!B10:B13,'Inputs - Common'!C18:C21,'Inputs - On-Demand'!B8:B9)=36,MIN('Inputs - Common'!B6:B9,'Inputs - Common'!B18:B21,'Inputs - On-Demand'!B6:B7,'Inputs - On-Demand'!B13:D13,'Inputs - Reservations'!B6:B9,'Inputs - Reservations'!B13:D15)&gt;0,MIN('Inputs - Common'!B10:B13,'Inputs - Common'!C18:C21,'Inputs - On-Demand'!B8:B9)&gt;=0,'Inputs - Common'!B11&lt;=1,MAX('Inputs - Reservations'!B13:D13,'Inputs - Reservations'!B15:D15)&lt;=1,COUNTIF('Inputs - Common'!D18:D21,"Y")+COUNTIF('Inputs - Common'!D18:D21,"N")=4),"Inputs OK","CHECK INPUTS: a zero, blank, text or out-of-range input makes these results meaningless")</f>
        <v>Inputs OK</v>
      </c>
    </row>
    <row r="5" customFormat="false" ht="15" hidden="false" customHeight="false" outlineLevel="0" collapsed="false">
      <c r="A5" s="5" t="s">
        <v>312</v>
      </c>
      <c r="G5" s="4" t="s">
        <v>83</v>
      </c>
    </row>
    <row r="6" customFormat="false" ht="15" hidden="false" customHeight="false" outlineLevel="0" collapsed="false">
      <c r="A6" s="13" t="s">
        <v>342</v>
      </c>
    </row>
    <row r="7" customFormat="false" ht="15" hidden="false" customHeight="false" outlineLevel="0" collapsed="false">
      <c r="A7" s="14" t="s">
        <v>128</v>
      </c>
      <c r="B7" s="14" t="s">
        <v>314</v>
      </c>
      <c r="C7" s="14" t="s">
        <v>315</v>
      </c>
      <c r="D7" s="14" t="s">
        <v>175</v>
      </c>
      <c r="E7" s="14" t="s">
        <v>176</v>
      </c>
      <c r="F7" s="14" t="s">
        <v>177</v>
      </c>
    </row>
    <row r="8" customFormat="false" ht="15" hidden="false" customHeight="false" outlineLevel="0" collapsed="false">
      <c r="A8" s="31" t="str">
        <f aca="false">'Inputs - Common'!A18</f>
        <v>B1</v>
      </c>
      <c r="B8" s="40" t="n">
        <f aca="false">'Inputs - Common'!B18</f>
        <v>400000</v>
      </c>
      <c r="C8" s="10" t="str">
        <f aca="false">'Inputs - Common'!D18</f>
        <v>N</v>
      </c>
      <c r="D8" s="41" t="n">
        <f aca="false">'Calc - Reservations'!B36</f>
        <v>-140333.333333333</v>
      </c>
      <c r="E8" s="41" t="n">
        <f aca="false">'Calc - Reservations'!B58</f>
        <v>50034.0136054422</v>
      </c>
      <c r="F8" s="41" t="n">
        <f aca="false">'Calc - Reservations'!B80</f>
        <v>140952.380952381</v>
      </c>
    </row>
    <row r="9" customFormat="false" ht="15" hidden="false" customHeight="false" outlineLevel="0" collapsed="false">
      <c r="A9" s="31" t="str">
        <f aca="false">'Inputs - Common'!A19</f>
        <v>B2</v>
      </c>
      <c r="B9" s="40" t="n">
        <f aca="false">'Inputs - Common'!B19</f>
        <v>1000000</v>
      </c>
      <c r="C9" s="10" t="str">
        <f aca="false">'Inputs - Common'!D19</f>
        <v>Y</v>
      </c>
      <c r="D9" s="41" t="n">
        <f aca="false">'Calc - Reservations'!C36</f>
        <v>-145833.333333334</v>
      </c>
      <c r="E9" s="41" t="n">
        <f aca="false">'Calc - Reservations'!C58</f>
        <v>330085.034013605</v>
      </c>
      <c r="F9" s="41" t="n">
        <f aca="false">'Calc - Reservations'!C80</f>
        <v>557380.952380952</v>
      </c>
    </row>
    <row r="10" customFormat="false" ht="15" hidden="false" customHeight="false" outlineLevel="0" collapsed="false">
      <c r="A10" s="31" t="str">
        <f aca="false">'Inputs - Common'!A20</f>
        <v>B3</v>
      </c>
      <c r="B10" s="40" t="n">
        <f aca="false">'Inputs - Common'!B20</f>
        <v>1500000</v>
      </c>
      <c r="C10" s="10" t="str">
        <f aca="false">'Inputs - Common'!D20</f>
        <v>Y</v>
      </c>
      <c r="D10" s="41" t="n">
        <f aca="false">'Calc - Reservations'!D36</f>
        <v>-158750</v>
      </c>
      <c r="E10" s="41" t="n">
        <f aca="false">'Calc - Reservations'!D58</f>
        <v>555127.551020408</v>
      </c>
      <c r="F10" s="41" t="n">
        <f aca="false">'Calc - Reservations'!D80</f>
        <v>896071.428571428</v>
      </c>
    </row>
    <row r="11" customFormat="false" ht="15" hidden="false" customHeight="false" outlineLevel="0" collapsed="false">
      <c r="A11" s="31" t="str">
        <f aca="false">'Inputs - Common'!A21</f>
        <v>B4</v>
      </c>
      <c r="B11" s="40" t="n">
        <f aca="false">'Inputs - Common'!B21</f>
        <v>4000000</v>
      </c>
      <c r="C11" s="10" t="str">
        <f aca="false">'Inputs - Common'!D21</f>
        <v>Y</v>
      </c>
      <c r="D11" s="41" t="n">
        <f aca="false">'Calc - Reservations'!E36</f>
        <v>-123333.333333334</v>
      </c>
      <c r="E11" s="41" t="n">
        <f aca="false">'Calc - Reservations'!E58</f>
        <v>1780340.13605442</v>
      </c>
      <c r="F11" s="41" t="n">
        <f aca="false">'Calc - Reservations'!E80</f>
        <v>2689523.80952381</v>
      </c>
    </row>
    <row r="12" customFormat="false" ht="15" hidden="false" customHeight="false" outlineLevel="0" collapsed="false">
      <c r="A12" s="2" t="s">
        <v>316</v>
      </c>
      <c r="B12" s="42"/>
      <c r="C12" s="43" t="s">
        <v>317</v>
      </c>
      <c r="D12" s="44" t="n">
        <f aca="false">IF(COUNTIF($C$8:$C$11,"Y")=0,"n/a",_xlfn.MINIFS(D8:D11,$C$8:$C$11,"Y"))</f>
        <v>-158750</v>
      </c>
      <c r="E12" s="44" t="n">
        <f aca="false">IF(COUNTIF($C$8:$C$11,"Y")=0,"n/a",_xlfn.MINIFS(E8:E11,$C$8:$C$11,"Y"))</f>
        <v>330085.034013605</v>
      </c>
      <c r="F12" s="44" t="n">
        <f aca="false">IF(COUNTIF($C$8:$C$11,"Y")=0,"n/a",_xlfn.MINIFS(F8:F11,$C$8:$C$11,"Y"))</f>
        <v>557380.952380952</v>
      </c>
    </row>
    <row r="13" customFormat="false" ht="15" hidden="false" customHeight="false" outlineLevel="0" collapsed="false">
      <c r="A13" s="2" t="s">
        <v>318</v>
      </c>
      <c r="B13" s="42"/>
      <c r="C13" s="43" t="s">
        <v>317</v>
      </c>
      <c r="D13" s="44" t="n">
        <f aca="false">IF(COUNTIF($C$8:$C$11,"Y")=0,"n/a",_xlfn.MAXIFS(D8:D11,$C$8:$C$11,"Y"))</f>
        <v>-123333.333333334</v>
      </c>
      <c r="E13" s="44" t="n">
        <f aca="false">IF(COUNTIF($C$8:$C$11,"Y")=0,"n/a",_xlfn.MAXIFS(E8:E11,$C$8:$C$11,"Y"))</f>
        <v>1780340.13605442</v>
      </c>
      <c r="F13" s="44" t="n">
        <f aca="false">IF(COUNTIF($C$8:$C$11,"Y")=0,"n/a",_xlfn.MAXIFS(F8:F11,$C$8:$C$11,"Y"))</f>
        <v>2689523.80952381</v>
      </c>
    </row>
    <row r="16" customFormat="false" ht="15" hidden="false" customHeight="false" outlineLevel="0" collapsed="false">
      <c r="A16" s="5" t="s">
        <v>343</v>
      </c>
      <c r="G16" s="4" t="s">
        <v>192</v>
      </c>
    </row>
    <row r="17" customFormat="false" ht="15" hidden="false" customHeight="false" outlineLevel="0" collapsed="false">
      <c r="A17" s="13" t="s">
        <v>344</v>
      </c>
    </row>
    <row r="18" customFormat="false" ht="15" hidden="false" customHeight="false" outlineLevel="0" collapsed="false">
      <c r="A18" s="14" t="s">
        <v>128</v>
      </c>
      <c r="B18" s="14" t="s">
        <v>314</v>
      </c>
      <c r="C18" s="14" t="s">
        <v>315</v>
      </c>
      <c r="D18" s="14" t="s">
        <v>175</v>
      </c>
      <c r="E18" s="14" t="s">
        <v>176</v>
      </c>
      <c r="F18" s="14" t="s">
        <v>177</v>
      </c>
    </row>
    <row r="19" customFormat="false" ht="15" hidden="false" customHeight="false" outlineLevel="0" collapsed="false">
      <c r="A19" s="31" t="str">
        <f aca="false">'Inputs - Common'!A18</f>
        <v>B1</v>
      </c>
      <c r="B19" s="40" t="n">
        <f aca="false">'Inputs - Common'!B18</f>
        <v>400000</v>
      </c>
      <c r="C19" s="10" t="str">
        <f aca="false">'Inputs - Common'!D18</f>
        <v>N</v>
      </c>
      <c r="D19" s="32" t="n">
        <f aca="false">'Calc - Reservations'!B26</f>
        <v>121.765601217656</v>
      </c>
      <c r="E19" s="32" t="n">
        <f aca="false">'Calc - Reservations'!B48</f>
        <v>55.9127760693318</v>
      </c>
      <c r="F19" s="32" t="n">
        <f aca="false">'Calc - Reservations'!B70</f>
        <v>24.4618395303327</v>
      </c>
    </row>
    <row r="20" customFormat="false" ht="15" hidden="false" customHeight="false" outlineLevel="0" collapsed="false">
      <c r="A20" s="31" t="str">
        <f aca="false">'Inputs - Common'!A19</f>
        <v>B2</v>
      </c>
      <c r="B20" s="40" t="n">
        <f aca="false">'Inputs - Common'!B19</f>
        <v>1000000</v>
      </c>
      <c r="C20" s="10" t="str">
        <f aca="false">'Inputs - Common'!D19</f>
        <v>Y</v>
      </c>
      <c r="D20" s="32" t="n">
        <f aca="false">'Calc - Reservations'!C26</f>
        <v>304.41400304414</v>
      </c>
      <c r="E20" s="32" t="n">
        <f aca="false">'Calc - Reservations'!C48</f>
        <v>139.78194017333</v>
      </c>
      <c r="F20" s="32" t="n">
        <f aca="false">'Calc - Reservations'!C70</f>
        <v>61.1545988258317</v>
      </c>
    </row>
    <row r="21" customFormat="false" ht="15" hidden="false" customHeight="false" outlineLevel="0" collapsed="false">
      <c r="A21" s="31" t="str">
        <f aca="false">'Inputs - Common'!A20</f>
        <v>B3</v>
      </c>
      <c r="B21" s="40" t="n">
        <f aca="false">'Inputs - Common'!B20</f>
        <v>1500000</v>
      </c>
      <c r="C21" s="10" t="str">
        <f aca="false">'Inputs - Common'!D20</f>
        <v>Y</v>
      </c>
      <c r="D21" s="32" t="n">
        <f aca="false">'Calc - Reservations'!D26</f>
        <v>456.62100456621</v>
      </c>
      <c r="E21" s="32" t="n">
        <f aca="false">'Calc - Reservations'!D48</f>
        <v>209.672910259994</v>
      </c>
      <c r="F21" s="32" t="n">
        <f aca="false">'Calc - Reservations'!D70</f>
        <v>91.7318982387476</v>
      </c>
    </row>
    <row r="22" customFormat="false" ht="15" hidden="false" customHeight="false" outlineLevel="0" collapsed="false">
      <c r="A22" s="31" t="str">
        <f aca="false">'Inputs - Common'!A21</f>
        <v>B4</v>
      </c>
      <c r="B22" s="40" t="n">
        <f aca="false">'Inputs - Common'!B21</f>
        <v>4000000</v>
      </c>
      <c r="C22" s="10" t="str">
        <f aca="false">'Inputs - Common'!D21</f>
        <v>Y</v>
      </c>
      <c r="D22" s="32" t="n">
        <f aca="false">'Calc - Reservations'!E26</f>
        <v>1217.65601217656</v>
      </c>
      <c r="E22" s="32" t="n">
        <f aca="false">'Calc - Reservations'!E48</f>
        <v>559.127760693319</v>
      </c>
      <c r="F22" s="32" t="n">
        <f aca="false">'Calc - Reservations'!E70</f>
        <v>244.618395303327</v>
      </c>
    </row>
    <row r="25" customFormat="false" ht="15" hidden="false" customHeight="false" outlineLevel="0" collapsed="false">
      <c r="A25" s="5" t="s">
        <v>345</v>
      </c>
      <c r="G25" s="4" t="s">
        <v>192</v>
      </c>
    </row>
    <row r="26" customFormat="false" ht="15" hidden="false" customHeight="false" outlineLevel="0" collapsed="false">
      <c r="A26" s="13" t="s">
        <v>346</v>
      </c>
    </row>
    <row r="27" customFormat="false" ht="15" hidden="false" customHeight="false" outlineLevel="0" collapsed="false">
      <c r="A27" s="14" t="s">
        <v>128</v>
      </c>
      <c r="B27" s="14" t="s">
        <v>314</v>
      </c>
      <c r="C27" s="14" t="s">
        <v>315</v>
      </c>
      <c r="D27" s="14" t="s">
        <v>175</v>
      </c>
      <c r="E27" s="14" t="s">
        <v>176</v>
      </c>
      <c r="F27" s="14" t="s">
        <v>177</v>
      </c>
    </row>
    <row r="28" customFormat="false" ht="15" hidden="false" customHeight="false" outlineLevel="0" collapsed="false">
      <c r="A28" s="31" t="str">
        <f aca="false">'Inputs - Common'!A18</f>
        <v>B1</v>
      </c>
      <c r="B28" s="40" t="n">
        <f aca="false">'Inputs - Common'!B18</f>
        <v>400000</v>
      </c>
      <c r="C28" s="10" t="str">
        <f aca="false">'Inputs - Common'!D18</f>
        <v>N</v>
      </c>
      <c r="D28" s="10" t="str">
        <f aca="false">'Calc - Reservations'!B27</f>
        <v>No</v>
      </c>
      <c r="E28" s="10" t="str">
        <f aca="false">'Calc - Reservations'!B49</f>
        <v>No</v>
      </c>
      <c r="F28" s="10" t="str">
        <f aca="false">'Calc - Reservations'!B71</f>
        <v>No</v>
      </c>
    </row>
    <row r="29" customFormat="false" ht="15" hidden="false" customHeight="false" outlineLevel="0" collapsed="false">
      <c r="A29" s="31" t="str">
        <f aca="false">'Inputs - Common'!A19</f>
        <v>B2</v>
      </c>
      <c r="B29" s="40" t="n">
        <f aca="false">'Inputs - Common'!B19</f>
        <v>1000000</v>
      </c>
      <c r="C29" s="10" t="str">
        <f aca="false">'Inputs - Common'!D19</f>
        <v>Y</v>
      </c>
      <c r="D29" s="10" t="str">
        <f aca="false">'Calc - Reservations'!C27</f>
        <v>No</v>
      </c>
      <c r="E29" s="10" t="str">
        <f aca="false">'Calc - Reservations'!C49</f>
        <v>No</v>
      </c>
      <c r="F29" s="10" t="str">
        <f aca="false">'Calc - Reservations'!C71</f>
        <v>No</v>
      </c>
    </row>
    <row r="30" customFormat="false" ht="15" hidden="false" customHeight="false" outlineLevel="0" collapsed="false">
      <c r="A30" s="31" t="str">
        <f aca="false">'Inputs - Common'!A20</f>
        <v>B3</v>
      </c>
      <c r="B30" s="40" t="n">
        <f aca="false">'Inputs - Common'!B20</f>
        <v>1500000</v>
      </c>
      <c r="C30" s="10" t="str">
        <f aca="false">'Inputs - Common'!D20</f>
        <v>Y</v>
      </c>
      <c r="D30" s="10" t="str">
        <f aca="false">'Calc - Reservations'!D27</f>
        <v>No</v>
      </c>
      <c r="E30" s="10" t="str">
        <f aca="false">'Calc - Reservations'!D49</f>
        <v>No</v>
      </c>
      <c r="F30" s="10" t="str">
        <f aca="false">'Calc - Reservations'!D71</f>
        <v>No</v>
      </c>
    </row>
    <row r="31" customFormat="false" ht="15" hidden="false" customHeight="false" outlineLevel="0" collapsed="false">
      <c r="A31" s="31" t="str">
        <f aca="false">'Inputs - Common'!A21</f>
        <v>B4</v>
      </c>
      <c r="B31" s="40" t="n">
        <f aca="false">'Inputs - Common'!B21</f>
        <v>4000000</v>
      </c>
      <c r="C31" s="10" t="str">
        <f aca="false">'Inputs - Common'!D21</f>
        <v>Y</v>
      </c>
      <c r="D31" s="10" t="str">
        <f aca="false">'Calc - Reservations'!E27</f>
        <v>YES</v>
      </c>
      <c r="E31" s="10" t="str">
        <f aca="false">'Calc - Reservations'!E49</f>
        <v>No</v>
      </c>
      <c r="F31" s="10" t="str">
        <f aca="false">'Calc - Reservations'!E71</f>
        <v>No</v>
      </c>
    </row>
    <row r="34" customFormat="false" ht="15" hidden="false" customHeight="false" outlineLevel="0" collapsed="false">
      <c r="A34" s="5" t="s">
        <v>347</v>
      </c>
      <c r="G34" s="4" t="s">
        <v>76</v>
      </c>
    </row>
    <row r="35" customFormat="false" ht="15" hidden="false" customHeight="false" outlineLevel="0" collapsed="false">
      <c r="A35" s="13" t="s">
        <v>348</v>
      </c>
    </row>
    <row r="36" customFormat="false" ht="15" hidden="false" customHeight="false" outlineLevel="0" collapsed="false">
      <c r="A36" s="14" t="s">
        <v>128</v>
      </c>
      <c r="B36" s="14" t="s">
        <v>314</v>
      </c>
      <c r="C36" s="14" t="s">
        <v>315</v>
      </c>
      <c r="D36" s="14" t="s">
        <v>175</v>
      </c>
      <c r="E36" s="14" t="s">
        <v>176</v>
      </c>
      <c r="F36" s="14" t="s">
        <v>177</v>
      </c>
    </row>
    <row r="37" customFormat="false" ht="15" hidden="false" customHeight="false" outlineLevel="0" collapsed="false">
      <c r="A37" s="31" t="str">
        <f aca="false">'Inputs - Common'!A18</f>
        <v>B1</v>
      </c>
      <c r="B37" s="40" t="n">
        <f aca="false">'Inputs - Common'!B18</f>
        <v>400000</v>
      </c>
      <c r="C37" s="10" t="str">
        <f aca="false">'Inputs - Common'!D18</f>
        <v>N</v>
      </c>
      <c r="D37" s="40" t="n">
        <f aca="false">'Calc - Reservations'!B31</f>
        <v>338333.333333333</v>
      </c>
      <c r="E37" s="40" t="n">
        <f aca="false">'Calc - Reservations'!B53</f>
        <v>165272.108843537</v>
      </c>
      <c r="F37" s="40" t="n">
        <f aca="false">'Calc - Reservations'!B75</f>
        <v>82619.0476190476</v>
      </c>
    </row>
    <row r="38" customFormat="false" ht="15" hidden="false" customHeight="false" outlineLevel="0" collapsed="false">
      <c r="A38" s="31" t="str">
        <f aca="false">'Inputs - Common'!A19</f>
        <v>B2</v>
      </c>
      <c r="B38" s="40" t="n">
        <f aca="false">'Inputs - Common'!B19</f>
        <v>1000000</v>
      </c>
      <c r="C38" s="10" t="str">
        <f aca="false">'Inputs - Common'!D19</f>
        <v>Y</v>
      </c>
      <c r="D38" s="40" t="n">
        <f aca="false">'Calc - Reservations'!C31</f>
        <v>845833.333333334</v>
      </c>
      <c r="E38" s="40" t="n">
        <f aca="false">'Calc - Reservations'!C53</f>
        <v>413180.272108844</v>
      </c>
      <c r="F38" s="40" t="n">
        <f aca="false">'Calc - Reservations'!C75</f>
        <v>206547.619047619</v>
      </c>
    </row>
    <row r="39" customFormat="false" ht="15" hidden="false" customHeight="false" outlineLevel="0" collapsed="false">
      <c r="A39" s="31" t="str">
        <f aca="false">'Inputs - Common'!A20</f>
        <v>B3</v>
      </c>
      <c r="B39" s="40" t="n">
        <f aca="false">'Inputs - Common'!B20</f>
        <v>1500000</v>
      </c>
      <c r="C39" s="10" t="str">
        <f aca="false">'Inputs - Common'!D20</f>
        <v>Y</v>
      </c>
      <c r="D39" s="40" t="n">
        <f aca="false">'Calc - Reservations'!D31</f>
        <v>1268750</v>
      </c>
      <c r="E39" s="40" t="n">
        <f aca="false">'Calc - Reservations'!D53</f>
        <v>619770.408163265</v>
      </c>
      <c r="F39" s="40" t="n">
        <f aca="false">'Calc - Reservations'!D75</f>
        <v>309821.428571429</v>
      </c>
    </row>
    <row r="40" customFormat="false" ht="15" hidden="false" customHeight="false" outlineLevel="0" collapsed="false">
      <c r="A40" s="31" t="str">
        <f aca="false">'Inputs - Common'!A21</f>
        <v>B4</v>
      </c>
      <c r="B40" s="40" t="n">
        <f aca="false">'Inputs - Common'!B21</f>
        <v>4000000</v>
      </c>
      <c r="C40" s="10" t="str">
        <f aca="false">'Inputs - Common'!D21</f>
        <v>Y</v>
      </c>
      <c r="D40" s="40" t="n">
        <f aca="false">'Calc - Reservations'!E31</f>
        <v>3383333.33333333</v>
      </c>
      <c r="E40" s="40" t="n">
        <f aca="false">'Calc - Reservations'!E53</f>
        <v>1652721.08843537</v>
      </c>
      <c r="F40" s="40" t="n">
        <f aca="false">'Calc - Reservations'!E75</f>
        <v>826190.476190476</v>
      </c>
    </row>
    <row r="43" customFormat="false" ht="15" hidden="false" customHeight="false" outlineLevel="0" collapsed="false">
      <c r="A43" s="5" t="s">
        <v>349</v>
      </c>
      <c r="G43" s="4" t="s">
        <v>68</v>
      </c>
    </row>
    <row r="44" customFormat="false" ht="15" hidden="false" customHeight="false" outlineLevel="0" collapsed="false">
      <c r="A44" s="13" t="s">
        <v>350</v>
      </c>
    </row>
    <row r="45" customFormat="false" ht="15" hidden="false" customHeight="true" outlineLevel="0" collapsed="false">
      <c r="A45" s="14" t="s">
        <v>227</v>
      </c>
      <c r="B45" s="14"/>
      <c r="C45" s="14"/>
      <c r="D45" s="14" t="s">
        <v>175</v>
      </c>
      <c r="E45" s="14" t="s">
        <v>176</v>
      </c>
      <c r="F45" s="14" t="s">
        <v>177</v>
      </c>
    </row>
    <row r="46" customFormat="false" ht="15" hidden="false" customHeight="true" outlineLevel="0" collapsed="false">
      <c r="A46" s="15" t="s">
        <v>351</v>
      </c>
      <c r="B46" s="15"/>
      <c r="C46" s="15"/>
      <c r="D46" s="37" t="n">
        <f aca="false">'Calc - Reservations'!B7</f>
        <v>8</v>
      </c>
      <c r="E46" s="37" t="n">
        <f aca="false">'Calc - Reservations'!C7</f>
        <v>5</v>
      </c>
      <c r="F46" s="37" t="n">
        <f aca="false">'Calc - Reservations'!D7</f>
        <v>3</v>
      </c>
    </row>
    <row r="47" customFormat="false" ht="15" hidden="false" customHeight="true" outlineLevel="0" collapsed="false">
      <c r="A47" s="15" t="s">
        <v>352</v>
      </c>
      <c r="B47" s="15"/>
      <c r="C47" s="15"/>
      <c r="D47" s="37" t="n">
        <f aca="false">'Calc - Reservations'!B11</f>
        <v>10</v>
      </c>
      <c r="E47" s="37" t="n">
        <f aca="false">'Calc - Reservations'!C11</f>
        <v>13.6111111111111</v>
      </c>
      <c r="F47" s="37" t="n">
        <f aca="false">'Calc - Reservations'!D11</f>
        <v>18.6666666666667</v>
      </c>
    </row>
    <row r="48" customFormat="false" ht="15" hidden="false" customHeight="true" outlineLevel="0" collapsed="false">
      <c r="A48" s="15" t="s">
        <v>278</v>
      </c>
      <c r="B48" s="15"/>
      <c r="C48" s="15"/>
      <c r="D48" s="36" t="n">
        <f aca="false">'Calc - Reservations'!B12</f>
        <v>0.8</v>
      </c>
      <c r="E48" s="36" t="n">
        <f aca="false">'Calc - Reservations'!C12</f>
        <v>0.36734693877551</v>
      </c>
      <c r="F48" s="36" t="n">
        <f aca="false">'Calc - Reservations'!D12</f>
        <v>0.160714285714286</v>
      </c>
    </row>
    <row r="49" customFormat="false" ht="15" hidden="false" customHeight="true" outlineLevel="0" collapsed="false">
      <c r="A49" s="15" t="s">
        <v>274</v>
      </c>
      <c r="B49" s="15"/>
      <c r="C49" s="15"/>
      <c r="D49" s="36" t="n">
        <f aca="false">'Calc - Reservations'!B10</f>
        <v>0.2</v>
      </c>
      <c r="E49" s="36" t="n">
        <f aca="false">'Calc - Reservations'!C10</f>
        <v>0.63265306122449</v>
      </c>
      <c r="F49" s="36" t="n">
        <f aca="false">'Calc - Reservations'!D10</f>
        <v>0.839285714285714</v>
      </c>
    </row>
    <row r="50" customFormat="false" ht="15" hidden="false" customHeight="true" outlineLevel="0" collapsed="false">
      <c r="A50" s="15" t="s">
        <v>353</v>
      </c>
      <c r="B50" s="15"/>
      <c r="C50" s="15"/>
      <c r="D50" s="45" t="n">
        <f aca="false">'Calc - Reservations'!B16</f>
        <v>0.06</v>
      </c>
      <c r="E50" s="45"/>
      <c r="F50" s="45"/>
      <c r="G50" s="4" t="s">
        <v>354</v>
      </c>
    </row>
    <row r="53" customFormat="false" ht="15" hidden="false" customHeight="false" outlineLevel="0" collapsed="false">
      <c r="A53" s="5" t="s">
        <v>332</v>
      </c>
    </row>
    <row r="54" customFormat="false" ht="27.75" hidden="false" customHeight="true" outlineLevel="0" collapsed="false">
      <c r="A54" s="3" t="s">
        <v>355</v>
      </c>
      <c r="B54" s="3"/>
      <c r="C54" s="3"/>
      <c r="D54" s="3"/>
      <c r="E54" s="3"/>
      <c r="F54" s="3"/>
      <c r="G54" s="4" t="s">
        <v>356</v>
      </c>
    </row>
    <row r="55" customFormat="false" ht="27.75" hidden="false" customHeight="true" outlineLevel="0" collapsed="false">
      <c r="A55" s="3" t="s">
        <v>357</v>
      </c>
      <c r="B55" s="3"/>
      <c r="C55" s="3"/>
      <c r="D55" s="3"/>
      <c r="E55" s="3"/>
      <c r="F55" s="3"/>
      <c r="G55" s="4" t="s">
        <v>192</v>
      </c>
    </row>
    <row r="56" customFormat="false" ht="27.75" hidden="false" customHeight="true" outlineLevel="0" collapsed="false">
      <c r="A56" s="3" t="s">
        <v>358</v>
      </c>
      <c r="B56" s="3"/>
      <c r="C56" s="3"/>
      <c r="D56" s="3"/>
      <c r="E56" s="3"/>
      <c r="F56" s="3"/>
      <c r="G56" s="4" t="s">
        <v>192</v>
      </c>
    </row>
    <row r="57" customFormat="false" ht="27.75" hidden="false" customHeight="true" outlineLevel="0" collapsed="false">
      <c r="A57" s="3" t="s">
        <v>338</v>
      </c>
      <c r="B57" s="3"/>
      <c r="C57" s="3"/>
      <c r="D57" s="3"/>
      <c r="E57" s="3"/>
      <c r="F57" s="3"/>
      <c r="G57" s="4" t="s">
        <v>339</v>
      </c>
    </row>
  </sheetData>
  <mergeCells count="12">
    <mergeCell ref="B3:C3"/>
    <mergeCell ref="A45:C45"/>
    <mergeCell ref="A46:C46"/>
    <mergeCell ref="A47:C47"/>
    <mergeCell ref="A48:C48"/>
    <mergeCell ref="A49:C49"/>
    <mergeCell ref="A50:C50"/>
    <mergeCell ref="D50:F50"/>
    <mergeCell ref="A54:F54"/>
    <mergeCell ref="A55:F55"/>
    <mergeCell ref="A56:F56"/>
    <mergeCell ref="A57:F57"/>
  </mergeCells>
  <conditionalFormatting sqref="A4">
    <cfRule type="expression" priority="1" dxfId="0">
      <formula>$A$4&lt;&gt;"Inputs OK"</formula>
    </cfRule>
  </conditionalFormatting>
  <hyperlinks>
    <hyperlink ref="B3" r:id="rId1" location="reservations" display="Doc §7 Analysis B"/>
    <hyperlink ref="G5" r:id="rId2" location="res-results" display="Doc §7.4 Results"/>
    <hyperlink ref="G16" r:id="rId3" location="res-constraints" display="Doc §7.5 Constraints"/>
    <hyperlink ref="G25" r:id="rId4" location="res-constraints" display="Doc §7.5 Constraints"/>
    <hyperlink ref="G34" r:id="rId5" location="res-model" display="Doc §7.2 Model"/>
    <hyperlink ref="G43" r:id="rId6" location="res-parameters" display="Doc §7.3 Parameters"/>
    <hyperlink ref="G50" r:id="rId7" location="od-vs-res-crossover" display="Doc §8.2 Crossover"/>
    <hyperlink ref="G54" r:id="rId8" location="cal-benchmark" display="Doc §9.2 Benchmark"/>
    <hyperlink ref="G55" r:id="rId9" location="res-constraints" display="Doc §7.5 Constraints"/>
    <hyperlink ref="G56" r:id="rId10" location="res-constraints" display="Doc §7.5 Constraints"/>
    <hyperlink ref="G57" r:id="rId11" location="outside-model" display="Doc §8.3 Outside the mode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2026-10-05T13:54:59Z</dcterms:created>
  <dc:creator>Ed Ost</dc:creator>
  <dc:description/>
  <dc:language>en-US</dc:language>
  <cp:lastModifiedBy/>
  <dcterms:modified xsi:type="dcterms:W3CDTF">2026-10-05T13:54:59Z</dcterms:modified>
  <cp:revision>0</cp:revision>
  <dc:subject/>
  <dc:title>Athena vs. Snowflake Bronze/Silver Cost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